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0" yWindow="105" windowWidth="14805" windowHeight="8010" firstSheet="2" activeTab="3"/>
  </bookViews>
  <sheets>
    <sheet name="завтрак 1-4 " sheetId="1" state="hidden" r:id="rId1"/>
    <sheet name="завтрак 5-11" sheetId="3" state="hidden" r:id="rId2"/>
    <sheet name="СТ меню 1-4" sheetId="10" r:id="rId3"/>
    <sheet name="СТ меню 5-11" sheetId="11" r:id="rId4"/>
    <sheet name="з. 1-4 замена говядины" sheetId="6" state="hidden" r:id="rId5"/>
    <sheet name="з. 5-11 замена говядины " sheetId="7" state="hidden" r:id="rId6"/>
    <sheet name="обед 1-4 класс" sheetId="2" state="hidden" r:id="rId7"/>
    <sheet name="Лист1" sheetId="12" state="hidden" r:id="rId8"/>
    <sheet name="среднесуточный набор продуктов" sheetId="13" state="hidden" r:id="rId9"/>
    <sheet name="потребность в пищевых веществах" sheetId="14" state="hidden" r:id="rId10"/>
  </sheets>
  <calcPr calcId="145621"/>
</workbook>
</file>

<file path=xl/calcChain.xml><?xml version="1.0" encoding="utf-8"?>
<calcChain xmlns="http://schemas.openxmlformats.org/spreadsheetml/2006/main">
  <c r="G180" i="10"/>
  <c r="J180"/>
  <c r="N180"/>
  <c r="Q180"/>
  <c r="R180"/>
  <c r="G177"/>
  <c r="H177"/>
  <c r="I177"/>
  <c r="J177"/>
  <c r="K177"/>
  <c r="L177"/>
  <c r="M177"/>
  <c r="N177"/>
  <c r="O177"/>
  <c r="P177"/>
  <c r="Q177"/>
  <c r="R177"/>
  <c r="S177"/>
  <c r="T177"/>
  <c r="F177"/>
  <c r="G174"/>
  <c r="J174"/>
  <c r="J176" s="1"/>
  <c r="N174"/>
  <c r="N176" s="1"/>
  <c r="Q174"/>
  <c r="R174"/>
  <c r="R176" s="1"/>
  <c r="G171"/>
  <c r="H171"/>
  <c r="I171"/>
  <c r="J171"/>
  <c r="K171"/>
  <c r="L171"/>
  <c r="M171"/>
  <c r="N171"/>
  <c r="O171"/>
  <c r="P171"/>
  <c r="Q171"/>
  <c r="R171"/>
  <c r="S171"/>
  <c r="T171"/>
  <c r="F171"/>
  <c r="F173" s="1"/>
  <c r="P365"/>
  <c r="Q365"/>
  <c r="R365"/>
  <c r="S365"/>
  <c r="T365"/>
  <c r="G365"/>
  <c r="H365"/>
  <c r="I365"/>
  <c r="J365"/>
  <c r="K365"/>
  <c r="L365"/>
  <c r="M365"/>
  <c r="N365"/>
  <c r="O365"/>
  <c r="G362"/>
  <c r="H362"/>
  <c r="I362"/>
  <c r="J362"/>
  <c r="K362"/>
  <c r="G363"/>
  <c r="H363"/>
  <c r="I363"/>
  <c r="J363"/>
  <c r="K363"/>
  <c r="G359"/>
  <c r="H359"/>
  <c r="I359"/>
  <c r="J359"/>
  <c r="G360"/>
  <c r="H360"/>
  <c r="I360"/>
  <c r="J360"/>
  <c r="G357"/>
  <c r="H357"/>
  <c r="I357"/>
  <c r="J357"/>
  <c r="K357"/>
  <c r="L357"/>
  <c r="L359" s="1"/>
  <c r="M357"/>
  <c r="N357"/>
  <c r="N359" s="1"/>
  <c r="O357"/>
  <c r="P357"/>
  <c r="Q357"/>
  <c r="R357"/>
  <c r="S357"/>
  <c r="T357"/>
  <c r="T359" s="1"/>
  <c r="H356"/>
  <c r="I356"/>
  <c r="J356"/>
  <c r="K356"/>
  <c r="L356"/>
  <c r="M356"/>
  <c r="N356"/>
  <c r="O356"/>
  <c r="P356"/>
  <c r="Q356"/>
  <c r="R356"/>
  <c r="S356"/>
  <c r="T356"/>
  <c r="H354"/>
  <c r="I354"/>
  <c r="J354"/>
  <c r="K354"/>
  <c r="L354"/>
  <c r="M354"/>
  <c r="N354"/>
  <c r="O354"/>
  <c r="P354"/>
  <c r="Q354"/>
  <c r="R354"/>
  <c r="S354"/>
  <c r="T354"/>
  <c r="L353"/>
  <c r="N353"/>
  <c r="Q353"/>
  <c r="R353"/>
  <c r="L351"/>
  <c r="N351"/>
  <c r="Q351"/>
  <c r="R351"/>
  <c r="H350"/>
  <c r="I350"/>
  <c r="J350"/>
  <c r="K350"/>
  <c r="H349"/>
  <c r="I349"/>
  <c r="J349"/>
  <c r="K349"/>
  <c r="F365"/>
  <c r="F363"/>
  <c r="K360"/>
  <c r="L360"/>
  <c r="M360"/>
  <c r="N360"/>
  <c r="O360"/>
  <c r="P360"/>
  <c r="Q360"/>
  <c r="R360"/>
  <c r="S360"/>
  <c r="T360"/>
  <c r="F360"/>
  <c r="R359"/>
  <c r="F357"/>
  <c r="F359" s="1"/>
  <c r="F356"/>
  <c r="G354"/>
  <c r="F354"/>
  <c r="F351"/>
  <c r="F353" s="1"/>
  <c r="F350"/>
  <c r="F349"/>
  <c r="P359"/>
  <c r="S359"/>
  <c r="Q359"/>
  <c r="O359"/>
  <c r="M359"/>
  <c r="K359"/>
  <c r="S363"/>
  <c r="Q363"/>
  <c r="O363"/>
  <c r="M363"/>
  <c r="T349"/>
  <c r="T350" s="1"/>
  <c r="S349"/>
  <c r="S362" s="1"/>
  <c r="R349"/>
  <c r="R350" s="1"/>
  <c r="Q349"/>
  <c r="Q362" s="1"/>
  <c r="P349"/>
  <c r="P350" s="1"/>
  <c r="O349"/>
  <c r="O362" s="1"/>
  <c r="N349"/>
  <c r="N350" s="1"/>
  <c r="M349"/>
  <c r="M362" s="1"/>
  <c r="L349"/>
  <c r="L350" s="1"/>
  <c r="G349"/>
  <c r="E349"/>
  <c r="F345"/>
  <c r="F344"/>
  <c r="G344"/>
  <c r="H344"/>
  <c r="H351" s="1"/>
  <c r="H353" s="1"/>
  <c r="I344"/>
  <c r="I351" s="1"/>
  <c r="I353" s="1"/>
  <c r="J344"/>
  <c r="J351" s="1"/>
  <c r="J353" s="1"/>
  <c r="K344"/>
  <c r="K351" s="1"/>
  <c r="K353" s="1"/>
  <c r="L344"/>
  <c r="M344"/>
  <c r="M351" s="1"/>
  <c r="M353" s="1"/>
  <c r="N344"/>
  <c r="O344"/>
  <c r="O351" s="1"/>
  <c r="O353" s="1"/>
  <c r="P344"/>
  <c r="P351" s="1"/>
  <c r="P353" s="1"/>
  <c r="Q344"/>
  <c r="R344"/>
  <c r="S344"/>
  <c r="S351" s="1"/>
  <c r="S353" s="1"/>
  <c r="T344"/>
  <c r="T351" s="1"/>
  <c r="T353" s="1"/>
  <c r="E344"/>
  <c r="E334"/>
  <c r="G320"/>
  <c r="H320"/>
  <c r="I320"/>
  <c r="J320"/>
  <c r="K320"/>
  <c r="L320"/>
  <c r="M320"/>
  <c r="N320"/>
  <c r="O320"/>
  <c r="P320"/>
  <c r="Q320"/>
  <c r="R320"/>
  <c r="S320"/>
  <c r="T320"/>
  <c r="F320"/>
  <c r="G318"/>
  <c r="H318"/>
  <c r="I318"/>
  <c r="J318"/>
  <c r="K318"/>
  <c r="L318"/>
  <c r="M318"/>
  <c r="N318"/>
  <c r="O318"/>
  <c r="P318"/>
  <c r="Q318"/>
  <c r="R318"/>
  <c r="S318"/>
  <c r="T318"/>
  <c r="F318"/>
  <c r="G317"/>
  <c r="H317"/>
  <c r="I317"/>
  <c r="J317"/>
  <c r="K317"/>
  <c r="L317"/>
  <c r="M317"/>
  <c r="N317"/>
  <c r="O317"/>
  <c r="P317"/>
  <c r="Q317"/>
  <c r="R317"/>
  <c r="S317"/>
  <c r="T317"/>
  <c r="F317"/>
  <c r="T316"/>
  <c r="S316"/>
  <c r="R316"/>
  <c r="Q316"/>
  <c r="P316"/>
  <c r="O316"/>
  <c r="N316"/>
  <c r="M316"/>
  <c r="L316"/>
  <c r="K316"/>
  <c r="J316"/>
  <c r="I316"/>
  <c r="H316"/>
  <c r="G316"/>
  <c r="F316"/>
  <c r="E316"/>
  <c r="F312"/>
  <c r="F311"/>
  <c r="E311"/>
  <c r="F302"/>
  <c r="F301"/>
  <c r="E301"/>
  <c r="T280"/>
  <c r="T281" s="1"/>
  <c r="S280"/>
  <c r="S281" s="1"/>
  <c r="R280"/>
  <c r="R281" s="1"/>
  <c r="Q280"/>
  <c r="Q281" s="1"/>
  <c r="P280"/>
  <c r="P281" s="1"/>
  <c r="O280"/>
  <c r="O281" s="1"/>
  <c r="N280"/>
  <c r="N281" s="1"/>
  <c r="M280"/>
  <c r="M281" s="1"/>
  <c r="L280"/>
  <c r="L281" s="1"/>
  <c r="K280"/>
  <c r="K281" s="1"/>
  <c r="J280"/>
  <c r="J281" s="1"/>
  <c r="I280"/>
  <c r="I281" s="1"/>
  <c r="H280"/>
  <c r="H281" s="1"/>
  <c r="G280"/>
  <c r="G281" s="1"/>
  <c r="F280"/>
  <c r="E280"/>
  <c r="E265"/>
  <c r="G246"/>
  <c r="G247" s="1"/>
  <c r="H246"/>
  <c r="I246"/>
  <c r="I247" s="1"/>
  <c r="J246"/>
  <c r="K246"/>
  <c r="K247" s="1"/>
  <c r="L246"/>
  <c r="M246"/>
  <c r="M247" s="1"/>
  <c r="N246"/>
  <c r="O246"/>
  <c r="O247" s="1"/>
  <c r="P246"/>
  <c r="Q246"/>
  <c r="Q247" s="1"/>
  <c r="R246"/>
  <c r="S246"/>
  <c r="S247" s="1"/>
  <c r="T246"/>
  <c r="F246"/>
  <c r="F247" s="1"/>
  <c r="E246"/>
  <c r="G241"/>
  <c r="H241"/>
  <c r="I241"/>
  <c r="J241"/>
  <c r="K241"/>
  <c r="L241"/>
  <c r="M241"/>
  <c r="N241"/>
  <c r="O241"/>
  <c r="P241"/>
  <c r="Q241"/>
  <c r="R241"/>
  <c r="S241"/>
  <c r="T241"/>
  <c r="F241"/>
  <c r="F242" s="1"/>
  <c r="F231"/>
  <c r="F232" s="1"/>
  <c r="T212"/>
  <c r="S212"/>
  <c r="S213" s="1"/>
  <c r="R212"/>
  <c r="Q212"/>
  <c r="Q213" s="1"/>
  <c r="P212"/>
  <c r="O212"/>
  <c r="O213" s="1"/>
  <c r="N212"/>
  <c r="M212"/>
  <c r="M213" s="1"/>
  <c r="L212"/>
  <c r="K212"/>
  <c r="K213" s="1"/>
  <c r="J212"/>
  <c r="I212"/>
  <c r="I213" s="1"/>
  <c r="H212"/>
  <c r="G212"/>
  <c r="G213" s="1"/>
  <c r="F212"/>
  <c r="F213" s="1"/>
  <c r="E212"/>
  <c r="G182"/>
  <c r="J182"/>
  <c r="N182"/>
  <c r="Q182"/>
  <c r="R182"/>
  <c r="G179"/>
  <c r="H179"/>
  <c r="I179"/>
  <c r="J179"/>
  <c r="K179"/>
  <c r="L179"/>
  <c r="M179"/>
  <c r="N179"/>
  <c r="O179"/>
  <c r="P179"/>
  <c r="Q179"/>
  <c r="R179"/>
  <c r="S179"/>
  <c r="T179"/>
  <c r="F179"/>
  <c r="G176"/>
  <c r="Q176"/>
  <c r="G173"/>
  <c r="H173"/>
  <c r="I173"/>
  <c r="J173"/>
  <c r="K173"/>
  <c r="L173"/>
  <c r="M173"/>
  <c r="N173"/>
  <c r="O173"/>
  <c r="P173"/>
  <c r="Q173"/>
  <c r="R173"/>
  <c r="S173"/>
  <c r="T173"/>
  <c r="T166"/>
  <c r="S166"/>
  <c r="S167" s="1"/>
  <c r="R166"/>
  <c r="Q166"/>
  <c r="Q167" s="1"/>
  <c r="P166"/>
  <c r="O166"/>
  <c r="O167" s="1"/>
  <c r="N166"/>
  <c r="M166"/>
  <c r="M167" s="1"/>
  <c r="L166"/>
  <c r="K166"/>
  <c r="K167" s="1"/>
  <c r="J166"/>
  <c r="I166"/>
  <c r="I167" s="1"/>
  <c r="H166"/>
  <c r="G166"/>
  <c r="G167" s="1"/>
  <c r="F166"/>
  <c r="F167" s="1"/>
  <c r="E166"/>
  <c r="F134"/>
  <c r="F135" s="1"/>
  <c r="T134"/>
  <c r="T135" s="1"/>
  <c r="S134"/>
  <c r="S135" s="1"/>
  <c r="R134"/>
  <c r="Q134"/>
  <c r="Q135" s="1"/>
  <c r="P134"/>
  <c r="P135" s="1"/>
  <c r="O134"/>
  <c r="O135" s="1"/>
  <c r="N134"/>
  <c r="M134"/>
  <c r="M135" s="1"/>
  <c r="L134"/>
  <c r="K134"/>
  <c r="K135" s="1"/>
  <c r="J134"/>
  <c r="J135" s="1"/>
  <c r="I134"/>
  <c r="I135" s="1"/>
  <c r="H134"/>
  <c r="G134"/>
  <c r="G135" s="1"/>
  <c r="E134"/>
  <c r="F129"/>
  <c r="F130" s="1"/>
  <c r="F119"/>
  <c r="F120" s="1"/>
  <c r="E119"/>
  <c r="T101"/>
  <c r="S101"/>
  <c r="S102" s="1"/>
  <c r="R101"/>
  <c r="Q101"/>
  <c r="Q102" s="1"/>
  <c r="P101"/>
  <c r="O101"/>
  <c r="O102" s="1"/>
  <c r="N101"/>
  <c r="M101"/>
  <c r="M102" s="1"/>
  <c r="L101"/>
  <c r="K101"/>
  <c r="K102" s="1"/>
  <c r="J101"/>
  <c r="I101"/>
  <c r="I102" s="1"/>
  <c r="H101"/>
  <c r="G101"/>
  <c r="G102" s="1"/>
  <c r="F101"/>
  <c r="F102" s="1"/>
  <c r="E101"/>
  <c r="F96"/>
  <c r="F97" s="1"/>
  <c r="G96"/>
  <c r="H96"/>
  <c r="I96"/>
  <c r="J96"/>
  <c r="K96"/>
  <c r="L96"/>
  <c r="M96"/>
  <c r="N96"/>
  <c r="O96"/>
  <c r="P96"/>
  <c r="Q96"/>
  <c r="R96"/>
  <c r="S96"/>
  <c r="T96"/>
  <c r="E96"/>
  <c r="F86"/>
  <c r="F87" s="1"/>
  <c r="E86"/>
  <c r="G66"/>
  <c r="G67" s="1"/>
  <c r="T66"/>
  <c r="T67" s="1"/>
  <c r="S66"/>
  <c r="S67" s="1"/>
  <c r="R66"/>
  <c r="R67" s="1"/>
  <c r="Q66"/>
  <c r="Q67" s="1"/>
  <c r="P66"/>
  <c r="P67" s="1"/>
  <c r="O66"/>
  <c r="O67" s="1"/>
  <c r="N66"/>
  <c r="N67" s="1"/>
  <c r="M66"/>
  <c r="M67" s="1"/>
  <c r="L66"/>
  <c r="L67" s="1"/>
  <c r="K66"/>
  <c r="K67" s="1"/>
  <c r="J66"/>
  <c r="J67" s="1"/>
  <c r="I66"/>
  <c r="I67" s="1"/>
  <c r="H66"/>
  <c r="H67" s="1"/>
  <c r="F66"/>
  <c r="F67" s="1"/>
  <c r="E66"/>
  <c r="T31"/>
  <c r="T32" s="1"/>
  <c r="S31"/>
  <c r="S32" s="1"/>
  <c r="R31"/>
  <c r="R32" s="1"/>
  <c r="Q31"/>
  <c r="Q32" s="1"/>
  <c r="P31"/>
  <c r="P32" s="1"/>
  <c r="O31"/>
  <c r="O32" s="1"/>
  <c r="N31"/>
  <c r="N32" s="1"/>
  <c r="M31"/>
  <c r="M32" s="1"/>
  <c r="L31"/>
  <c r="L32" s="1"/>
  <c r="K31"/>
  <c r="K32" s="1"/>
  <c r="J31"/>
  <c r="J32" s="1"/>
  <c r="I31"/>
  <c r="I32" s="1"/>
  <c r="H31"/>
  <c r="H32" s="1"/>
  <c r="G31"/>
  <c r="G32" s="1"/>
  <c r="F31"/>
  <c r="F32" s="1"/>
  <c r="E31"/>
  <c r="G350" l="1"/>
  <c r="M350"/>
  <c r="O350"/>
  <c r="Q350"/>
  <c r="S350"/>
  <c r="G356"/>
  <c r="F362"/>
  <c r="L362"/>
  <c r="N362"/>
  <c r="P362"/>
  <c r="R362"/>
  <c r="T362"/>
  <c r="L363"/>
  <c r="N363"/>
  <c r="P363"/>
  <c r="R363"/>
  <c r="T363"/>
  <c r="G351"/>
  <c r="G353" s="1"/>
  <c r="F281"/>
  <c r="T247"/>
  <c r="R247"/>
  <c r="P247"/>
  <c r="N247"/>
  <c r="L247"/>
  <c r="J247"/>
  <c r="H247"/>
  <c r="F248"/>
  <c r="F250" s="1"/>
  <c r="T213"/>
  <c r="R213"/>
  <c r="P213"/>
  <c r="N213"/>
  <c r="L213"/>
  <c r="J213"/>
  <c r="H213"/>
  <c r="F136"/>
  <c r="F138" s="1"/>
  <c r="T167"/>
  <c r="R167"/>
  <c r="P167"/>
  <c r="N167"/>
  <c r="L167"/>
  <c r="J167"/>
  <c r="H167"/>
  <c r="R135"/>
  <c r="N135"/>
  <c r="L135"/>
  <c r="H135"/>
  <c r="H102"/>
  <c r="L102"/>
  <c r="P102"/>
  <c r="T102"/>
  <c r="F103"/>
  <c r="F105" s="1"/>
  <c r="J102"/>
  <c r="N102"/>
  <c r="R102"/>
  <c r="G345" i="11"/>
  <c r="G346" s="1"/>
  <c r="H345"/>
  <c r="I345"/>
  <c r="I346" s="1"/>
  <c r="J345"/>
  <c r="K345"/>
  <c r="K346" s="1"/>
  <c r="L345"/>
  <c r="M345"/>
  <c r="M346" s="1"/>
  <c r="N345"/>
  <c r="O345"/>
  <c r="O346" s="1"/>
  <c r="P345"/>
  <c r="Q345"/>
  <c r="Q346" s="1"/>
  <c r="R345"/>
  <c r="S345"/>
  <c r="S346" s="1"/>
  <c r="T345"/>
  <c r="F345"/>
  <c r="F346" s="1"/>
  <c r="E345"/>
  <c r="F340"/>
  <c r="F341" s="1"/>
  <c r="G340"/>
  <c r="G341" s="1"/>
  <c r="H340"/>
  <c r="H341" s="1"/>
  <c r="I340"/>
  <c r="I341" s="1"/>
  <c r="J340"/>
  <c r="J341" s="1"/>
  <c r="K340"/>
  <c r="K341" s="1"/>
  <c r="L340"/>
  <c r="L341" s="1"/>
  <c r="M340"/>
  <c r="M341" s="1"/>
  <c r="N340"/>
  <c r="N341" s="1"/>
  <c r="O340"/>
  <c r="O341" s="1"/>
  <c r="P340"/>
  <c r="P341" s="1"/>
  <c r="Q340"/>
  <c r="Q341" s="1"/>
  <c r="R340"/>
  <c r="R341" s="1"/>
  <c r="S340"/>
  <c r="S341" s="1"/>
  <c r="T340"/>
  <c r="T341" s="1"/>
  <c r="E340"/>
  <c r="F330"/>
  <c r="F331" s="1"/>
  <c r="G330"/>
  <c r="G331" s="1"/>
  <c r="H330"/>
  <c r="H331" s="1"/>
  <c r="I330"/>
  <c r="I331" s="1"/>
  <c r="J330"/>
  <c r="J331" s="1"/>
  <c r="K330"/>
  <c r="K331" s="1"/>
  <c r="L330"/>
  <c r="L331" s="1"/>
  <c r="M330"/>
  <c r="M331" s="1"/>
  <c r="N330"/>
  <c r="N331" s="1"/>
  <c r="O330"/>
  <c r="O331" s="1"/>
  <c r="P330"/>
  <c r="P331" s="1"/>
  <c r="Q330"/>
  <c r="Q331" s="1"/>
  <c r="R330"/>
  <c r="R331" s="1"/>
  <c r="S330"/>
  <c r="S331" s="1"/>
  <c r="T330"/>
  <c r="T331" s="1"/>
  <c r="E330"/>
  <c r="F313"/>
  <c r="F314" s="1"/>
  <c r="G313"/>
  <c r="G314" s="1"/>
  <c r="H313"/>
  <c r="I313"/>
  <c r="I314" s="1"/>
  <c r="J313"/>
  <c r="K313"/>
  <c r="K314" s="1"/>
  <c r="L313"/>
  <c r="M313"/>
  <c r="M314" s="1"/>
  <c r="N313"/>
  <c r="O313"/>
  <c r="O314" s="1"/>
  <c r="P313"/>
  <c r="Q313"/>
  <c r="Q314" s="1"/>
  <c r="R313"/>
  <c r="S313"/>
  <c r="S314" s="1"/>
  <c r="T313"/>
  <c r="E313"/>
  <c r="F308"/>
  <c r="F309" s="1"/>
  <c r="G308"/>
  <c r="G309" s="1"/>
  <c r="H308"/>
  <c r="H309" s="1"/>
  <c r="I308"/>
  <c r="I309" s="1"/>
  <c r="J308"/>
  <c r="J309" s="1"/>
  <c r="K308"/>
  <c r="K309" s="1"/>
  <c r="L308"/>
  <c r="L309" s="1"/>
  <c r="M308"/>
  <c r="M309" s="1"/>
  <c r="N308"/>
  <c r="N309" s="1"/>
  <c r="O308"/>
  <c r="O309" s="1"/>
  <c r="P308"/>
  <c r="P309" s="1"/>
  <c r="Q308"/>
  <c r="Q309" s="1"/>
  <c r="R308"/>
  <c r="R309" s="1"/>
  <c r="S308"/>
  <c r="S309" s="1"/>
  <c r="T308"/>
  <c r="T309" s="1"/>
  <c r="E308"/>
  <c r="G298"/>
  <c r="G299" s="1"/>
  <c r="H298"/>
  <c r="H299" s="1"/>
  <c r="I298"/>
  <c r="I299" s="1"/>
  <c r="J298"/>
  <c r="J299" s="1"/>
  <c r="K298"/>
  <c r="K299" s="1"/>
  <c r="L298"/>
  <c r="L299" s="1"/>
  <c r="M298"/>
  <c r="M299" s="1"/>
  <c r="N298"/>
  <c r="N299" s="1"/>
  <c r="O298"/>
  <c r="O299" s="1"/>
  <c r="P298"/>
  <c r="P299" s="1"/>
  <c r="Q298"/>
  <c r="Q299" s="1"/>
  <c r="R298"/>
  <c r="R299" s="1"/>
  <c r="S298"/>
  <c r="S299" s="1"/>
  <c r="T298"/>
  <c r="T299" s="1"/>
  <c r="F298"/>
  <c r="F299" s="1"/>
  <c r="E298"/>
  <c r="T347" l="1"/>
  <c r="T349" s="1"/>
  <c r="R347"/>
  <c r="R349" s="1"/>
  <c r="P347"/>
  <c r="P349" s="1"/>
  <c r="N347"/>
  <c r="N349" s="1"/>
  <c r="L347"/>
  <c r="L349" s="1"/>
  <c r="J347"/>
  <c r="J349" s="1"/>
  <c r="H347"/>
  <c r="H349" s="1"/>
  <c r="T346"/>
  <c r="R346"/>
  <c r="P346"/>
  <c r="N346"/>
  <c r="L346"/>
  <c r="J346"/>
  <c r="H346"/>
  <c r="F347"/>
  <c r="F349" s="1"/>
  <c r="S347"/>
  <c r="S349" s="1"/>
  <c r="Q347"/>
  <c r="Q349" s="1"/>
  <c r="O347"/>
  <c r="O349" s="1"/>
  <c r="M347"/>
  <c r="M349" s="1"/>
  <c r="K347"/>
  <c r="K349" s="1"/>
  <c r="I347"/>
  <c r="I349" s="1"/>
  <c r="G347"/>
  <c r="G349" s="1"/>
  <c r="T315"/>
  <c r="T317" s="1"/>
  <c r="R315"/>
  <c r="R317" s="1"/>
  <c r="P315"/>
  <c r="P317" s="1"/>
  <c r="N315"/>
  <c r="N317" s="1"/>
  <c r="J315"/>
  <c r="J317" s="1"/>
  <c r="H315"/>
  <c r="H317" s="1"/>
  <c r="L315"/>
  <c r="L317" s="1"/>
  <c r="T314"/>
  <c r="R314"/>
  <c r="P314"/>
  <c r="N314"/>
  <c r="L314"/>
  <c r="J314"/>
  <c r="H314"/>
  <c r="F315"/>
  <c r="F317" s="1"/>
  <c r="S315"/>
  <c r="S317" s="1"/>
  <c r="Q315"/>
  <c r="Q317" s="1"/>
  <c r="O315"/>
  <c r="O317" s="1"/>
  <c r="M315"/>
  <c r="M317" s="1"/>
  <c r="K315"/>
  <c r="K317" s="1"/>
  <c r="I315"/>
  <c r="I317" s="1"/>
  <c r="G315"/>
  <c r="G317" s="1"/>
  <c r="F277" l="1"/>
  <c r="G277"/>
  <c r="G278" s="1"/>
  <c r="H277"/>
  <c r="H278" s="1"/>
  <c r="I277"/>
  <c r="I278" s="1"/>
  <c r="J277"/>
  <c r="J278" s="1"/>
  <c r="K277"/>
  <c r="K278" s="1"/>
  <c r="L277"/>
  <c r="L278" s="1"/>
  <c r="M277"/>
  <c r="M278" s="1"/>
  <c r="N277"/>
  <c r="N278" s="1"/>
  <c r="O277"/>
  <c r="O278" s="1"/>
  <c r="P277"/>
  <c r="P278" s="1"/>
  <c r="Q277"/>
  <c r="Q278" s="1"/>
  <c r="R277"/>
  <c r="R278" s="1"/>
  <c r="S277"/>
  <c r="S278" s="1"/>
  <c r="T277"/>
  <c r="T278" s="1"/>
  <c r="E277"/>
  <c r="G272"/>
  <c r="G273" s="1"/>
  <c r="H272"/>
  <c r="H273" s="1"/>
  <c r="I272"/>
  <c r="I273" s="1"/>
  <c r="J272"/>
  <c r="J273" s="1"/>
  <c r="K272"/>
  <c r="K273" s="1"/>
  <c r="L272"/>
  <c r="L273" s="1"/>
  <c r="M272"/>
  <c r="M273" s="1"/>
  <c r="N272"/>
  <c r="N273" s="1"/>
  <c r="O272"/>
  <c r="O273" s="1"/>
  <c r="P272"/>
  <c r="P273" s="1"/>
  <c r="Q272"/>
  <c r="Q273" s="1"/>
  <c r="R272"/>
  <c r="R273" s="1"/>
  <c r="S272"/>
  <c r="S273" s="1"/>
  <c r="T272"/>
  <c r="T273" s="1"/>
  <c r="F272"/>
  <c r="F273" s="1"/>
  <c r="E272"/>
  <c r="F262"/>
  <c r="F263" s="1"/>
  <c r="G262"/>
  <c r="G263" s="1"/>
  <c r="H262"/>
  <c r="H263" s="1"/>
  <c r="I262"/>
  <c r="I263" s="1"/>
  <c r="J262"/>
  <c r="J263" s="1"/>
  <c r="K262"/>
  <c r="K263" s="1"/>
  <c r="L262"/>
  <c r="L263" s="1"/>
  <c r="M262"/>
  <c r="M263" s="1"/>
  <c r="N262"/>
  <c r="N263" s="1"/>
  <c r="O262"/>
  <c r="O263" s="1"/>
  <c r="P262"/>
  <c r="P263" s="1"/>
  <c r="Q262"/>
  <c r="Q263" s="1"/>
  <c r="R262"/>
  <c r="R263" s="1"/>
  <c r="S262"/>
  <c r="S263" s="1"/>
  <c r="T262"/>
  <c r="T263" s="1"/>
  <c r="E262"/>
  <c r="F265" i="10"/>
  <c r="F266" s="1"/>
  <c r="G265"/>
  <c r="H265"/>
  <c r="I265"/>
  <c r="J265"/>
  <c r="K265"/>
  <c r="L265"/>
  <c r="M265"/>
  <c r="N265"/>
  <c r="O265"/>
  <c r="P265"/>
  <c r="Q265"/>
  <c r="R265"/>
  <c r="S265"/>
  <c r="T265"/>
  <c r="T243" i="11"/>
  <c r="T244" s="1"/>
  <c r="S243"/>
  <c r="R243"/>
  <c r="R244" s="1"/>
  <c r="Q243"/>
  <c r="P243"/>
  <c r="P244" s="1"/>
  <c r="O243"/>
  <c r="N243"/>
  <c r="N244" s="1"/>
  <c r="M243"/>
  <c r="L243"/>
  <c r="L244" s="1"/>
  <c r="K243"/>
  <c r="J243"/>
  <c r="I243"/>
  <c r="H243"/>
  <c r="G243"/>
  <c r="F243"/>
  <c r="E243"/>
  <c r="G238"/>
  <c r="G239" s="1"/>
  <c r="H238"/>
  <c r="H239" s="1"/>
  <c r="I238"/>
  <c r="I239" s="1"/>
  <c r="J238"/>
  <c r="J239" s="1"/>
  <c r="K238"/>
  <c r="K239" s="1"/>
  <c r="L238"/>
  <c r="L239" s="1"/>
  <c r="M238"/>
  <c r="M239" s="1"/>
  <c r="N238"/>
  <c r="N239" s="1"/>
  <c r="O238"/>
  <c r="O239" s="1"/>
  <c r="P238"/>
  <c r="P239" s="1"/>
  <c r="Q238"/>
  <c r="Q239" s="1"/>
  <c r="R238"/>
  <c r="R239" s="1"/>
  <c r="S238"/>
  <c r="S239" s="1"/>
  <c r="T238"/>
  <c r="T239" s="1"/>
  <c r="F238"/>
  <c r="F239" s="1"/>
  <c r="E238"/>
  <c r="F228"/>
  <c r="F229" s="1"/>
  <c r="G228"/>
  <c r="G229" s="1"/>
  <c r="H228"/>
  <c r="H229" s="1"/>
  <c r="I228"/>
  <c r="I229" s="1"/>
  <c r="J228"/>
  <c r="J229" s="1"/>
  <c r="K228"/>
  <c r="K229" s="1"/>
  <c r="L228"/>
  <c r="L229" s="1"/>
  <c r="M228"/>
  <c r="M229" s="1"/>
  <c r="N228"/>
  <c r="N229" s="1"/>
  <c r="O228"/>
  <c r="O229" s="1"/>
  <c r="P228"/>
  <c r="P229" s="1"/>
  <c r="Q228"/>
  <c r="Q229" s="1"/>
  <c r="R228"/>
  <c r="R229" s="1"/>
  <c r="S228"/>
  <c r="S229" s="1"/>
  <c r="T228"/>
  <c r="T229" s="1"/>
  <c r="E228"/>
  <c r="F279" l="1"/>
  <c r="F281" s="1"/>
  <c r="G245"/>
  <c r="G247" s="1"/>
  <c r="I245"/>
  <c r="I247" s="1"/>
  <c r="K245"/>
  <c r="K247" s="1"/>
  <c r="F245"/>
  <c r="F247" s="1"/>
  <c r="H245"/>
  <c r="H247" s="1"/>
  <c r="J245"/>
  <c r="J247" s="1"/>
  <c r="F278"/>
  <c r="T279"/>
  <c r="T281" s="1"/>
  <c r="R279"/>
  <c r="R281" s="1"/>
  <c r="P279"/>
  <c r="P281" s="1"/>
  <c r="N279"/>
  <c r="N281" s="1"/>
  <c r="L279"/>
  <c r="L281" s="1"/>
  <c r="J279"/>
  <c r="J281" s="1"/>
  <c r="H279"/>
  <c r="H281" s="1"/>
  <c r="M245"/>
  <c r="M247" s="1"/>
  <c r="O245"/>
  <c r="O247" s="1"/>
  <c r="Q245"/>
  <c r="Q247" s="1"/>
  <c r="S245"/>
  <c r="S247" s="1"/>
  <c r="S279"/>
  <c r="S281" s="1"/>
  <c r="Q279"/>
  <c r="Q281" s="1"/>
  <c r="O279"/>
  <c r="O281" s="1"/>
  <c r="M279"/>
  <c r="M281" s="1"/>
  <c r="K279"/>
  <c r="K281" s="1"/>
  <c r="I279"/>
  <c r="I281" s="1"/>
  <c r="G279"/>
  <c r="G281" s="1"/>
  <c r="F244"/>
  <c r="S244"/>
  <c r="Q244"/>
  <c r="O244"/>
  <c r="M244"/>
  <c r="K244"/>
  <c r="I244"/>
  <c r="G244"/>
  <c r="T245"/>
  <c r="T247" s="1"/>
  <c r="R245"/>
  <c r="R247" s="1"/>
  <c r="P245"/>
  <c r="P247" s="1"/>
  <c r="N245"/>
  <c r="N247" s="1"/>
  <c r="J244"/>
  <c r="H244"/>
  <c r="L245"/>
  <c r="L247" s="1"/>
  <c r="F209"/>
  <c r="G209"/>
  <c r="H209"/>
  <c r="I209"/>
  <c r="J209"/>
  <c r="K209"/>
  <c r="L209"/>
  <c r="M209"/>
  <c r="N209"/>
  <c r="O209"/>
  <c r="P209"/>
  <c r="Q209"/>
  <c r="R209"/>
  <c r="S209"/>
  <c r="T209"/>
  <c r="E209"/>
  <c r="F204"/>
  <c r="F353" s="1"/>
  <c r="F355" s="1"/>
  <c r="G204"/>
  <c r="G353" s="1"/>
  <c r="G355" s="1"/>
  <c r="H204"/>
  <c r="I204"/>
  <c r="J204"/>
  <c r="K204"/>
  <c r="L204"/>
  <c r="M204"/>
  <c r="N204"/>
  <c r="N353" s="1"/>
  <c r="N355" s="1"/>
  <c r="O204"/>
  <c r="P204"/>
  <c r="Q204"/>
  <c r="R204"/>
  <c r="S204"/>
  <c r="T204"/>
  <c r="N205"/>
  <c r="F205"/>
  <c r="G205"/>
  <c r="E204"/>
  <c r="F193"/>
  <c r="G193"/>
  <c r="H193"/>
  <c r="I193"/>
  <c r="J193"/>
  <c r="K193"/>
  <c r="L193"/>
  <c r="M193"/>
  <c r="N193"/>
  <c r="O193"/>
  <c r="P193"/>
  <c r="Q193"/>
  <c r="R193"/>
  <c r="S193"/>
  <c r="T193"/>
  <c r="E193"/>
  <c r="G163"/>
  <c r="G164" s="1"/>
  <c r="H163"/>
  <c r="H164" s="1"/>
  <c r="I163"/>
  <c r="I164" s="1"/>
  <c r="J163"/>
  <c r="J164" s="1"/>
  <c r="K163"/>
  <c r="K164" s="1"/>
  <c r="L163"/>
  <c r="L164" s="1"/>
  <c r="M163"/>
  <c r="M164" s="1"/>
  <c r="N163"/>
  <c r="N164" s="1"/>
  <c r="O163"/>
  <c r="O164" s="1"/>
  <c r="P163"/>
  <c r="P164" s="1"/>
  <c r="Q163"/>
  <c r="Q164" s="1"/>
  <c r="R163"/>
  <c r="R164" s="1"/>
  <c r="S163"/>
  <c r="S164" s="1"/>
  <c r="T163"/>
  <c r="T164" s="1"/>
  <c r="F163"/>
  <c r="F164" s="1"/>
  <c r="E163"/>
  <c r="G158"/>
  <c r="G159" s="1"/>
  <c r="H158"/>
  <c r="H159" s="1"/>
  <c r="I158"/>
  <c r="I159" s="1"/>
  <c r="J158"/>
  <c r="J159" s="1"/>
  <c r="K158"/>
  <c r="K159" s="1"/>
  <c r="L158"/>
  <c r="L159" s="1"/>
  <c r="M158"/>
  <c r="M159" s="1"/>
  <c r="N158"/>
  <c r="N159" s="1"/>
  <c r="O158"/>
  <c r="O159" s="1"/>
  <c r="P158"/>
  <c r="P159" s="1"/>
  <c r="Q158"/>
  <c r="Q159" s="1"/>
  <c r="R158"/>
  <c r="R159" s="1"/>
  <c r="S158"/>
  <c r="S159" s="1"/>
  <c r="T158"/>
  <c r="F158"/>
  <c r="F159" s="1"/>
  <c r="E158"/>
  <c r="F148"/>
  <c r="F149" s="1"/>
  <c r="G148"/>
  <c r="G149" s="1"/>
  <c r="H148"/>
  <c r="I148"/>
  <c r="I149" s="1"/>
  <c r="J148"/>
  <c r="K148"/>
  <c r="K149" s="1"/>
  <c r="L148"/>
  <c r="M148"/>
  <c r="M149" s="1"/>
  <c r="N148"/>
  <c r="O148"/>
  <c r="O149" s="1"/>
  <c r="P148"/>
  <c r="Q148"/>
  <c r="Q149" s="1"/>
  <c r="R148"/>
  <c r="R149" s="1"/>
  <c r="S148"/>
  <c r="S149" s="1"/>
  <c r="T148"/>
  <c r="T149" s="1"/>
  <c r="E148"/>
  <c r="S194" l="1"/>
  <c r="S350"/>
  <c r="Q194"/>
  <c r="Q350"/>
  <c r="O194"/>
  <c r="O350"/>
  <c r="M194"/>
  <c r="M350"/>
  <c r="K194"/>
  <c r="K350"/>
  <c r="I194"/>
  <c r="I350"/>
  <c r="G194"/>
  <c r="G350"/>
  <c r="T205"/>
  <c r="T353"/>
  <c r="T355" s="1"/>
  <c r="R205"/>
  <c r="R353"/>
  <c r="R355" s="1"/>
  <c r="P205"/>
  <c r="P353"/>
  <c r="P355" s="1"/>
  <c r="L205"/>
  <c r="L353"/>
  <c r="L355" s="1"/>
  <c r="J205"/>
  <c r="J353"/>
  <c r="J355" s="1"/>
  <c r="H205"/>
  <c r="H353"/>
  <c r="H355" s="1"/>
  <c r="T210"/>
  <c r="T356"/>
  <c r="T358" s="1"/>
  <c r="R210"/>
  <c r="R356"/>
  <c r="R358" s="1"/>
  <c r="P210"/>
  <c r="P356"/>
  <c r="P358" s="1"/>
  <c r="N210"/>
  <c r="N356"/>
  <c r="N358" s="1"/>
  <c r="L210"/>
  <c r="L356"/>
  <c r="L358" s="1"/>
  <c r="J210"/>
  <c r="J356"/>
  <c r="J358" s="1"/>
  <c r="H210"/>
  <c r="H356"/>
  <c r="H358" s="1"/>
  <c r="F210"/>
  <c r="F356"/>
  <c r="F358" s="1"/>
  <c r="T194"/>
  <c r="T350"/>
  <c r="R194"/>
  <c r="R350"/>
  <c r="P194"/>
  <c r="P350"/>
  <c r="N194"/>
  <c r="N350"/>
  <c r="L194"/>
  <c r="L350"/>
  <c r="J194"/>
  <c r="J350"/>
  <c r="H194"/>
  <c r="H350"/>
  <c r="F211"/>
  <c r="F213" s="1"/>
  <c r="F350"/>
  <c r="S205"/>
  <c r="S353"/>
  <c r="S355" s="1"/>
  <c r="Q205"/>
  <c r="Q353"/>
  <c r="Q355" s="1"/>
  <c r="O205"/>
  <c r="O353"/>
  <c r="O355" s="1"/>
  <c r="M205"/>
  <c r="M353"/>
  <c r="M355" s="1"/>
  <c r="K205"/>
  <c r="K353"/>
  <c r="K355" s="1"/>
  <c r="I205"/>
  <c r="I353"/>
  <c r="I355" s="1"/>
  <c r="S210"/>
  <c r="S356"/>
  <c r="S358" s="1"/>
  <c r="Q210"/>
  <c r="Q356"/>
  <c r="Q358" s="1"/>
  <c r="O210"/>
  <c r="O356"/>
  <c r="O358" s="1"/>
  <c r="M210"/>
  <c r="M356"/>
  <c r="M358" s="1"/>
  <c r="K210"/>
  <c r="K356"/>
  <c r="K358" s="1"/>
  <c r="I210"/>
  <c r="I356"/>
  <c r="I358" s="1"/>
  <c r="G210"/>
  <c r="G356"/>
  <c r="G358" s="1"/>
  <c r="P165"/>
  <c r="P167" s="1"/>
  <c r="N165"/>
  <c r="N167" s="1"/>
  <c r="L165"/>
  <c r="L167" s="1"/>
  <c r="J165"/>
  <c r="J167" s="1"/>
  <c r="H165"/>
  <c r="H167" s="1"/>
  <c r="F194"/>
  <c r="S211"/>
  <c r="S213" s="1"/>
  <c r="Q211"/>
  <c r="Q213" s="1"/>
  <c r="O211"/>
  <c r="O213" s="1"/>
  <c r="M211"/>
  <c r="M213" s="1"/>
  <c r="K211"/>
  <c r="K213" s="1"/>
  <c r="I211"/>
  <c r="I213" s="1"/>
  <c r="G211"/>
  <c r="G213" s="1"/>
  <c r="T211"/>
  <c r="T213" s="1"/>
  <c r="R211"/>
  <c r="R213" s="1"/>
  <c r="P211"/>
  <c r="P213" s="1"/>
  <c r="N211"/>
  <c r="N213" s="1"/>
  <c r="L211"/>
  <c r="L213" s="1"/>
  <c r="J211"/>
  <c r="J213" s="1"/>
  <c r="H211"/>
  <c r="H213" s="1"/>
  <c r="T165"/>
  <c r="T167" s="1"/>
  <c r="R165"/>
  <c r="R167" s="1"/>
  <c r="T159"/>
  <c r="F165"/>
  <c r="F167" s="1"/>
  <c r="P149"/>
  <c r="N149"/>
  <c r="L149"/>
  <c r="J149"/>
  <c r="H149"/>
  <c r="S165"/>
  <c r="S167" s="1"/>
  <c r="Q165"/>
  <c r="Q167" s="1"/>
  <c r="O165"/>
  <c r="O167" s="1"/>
  <c r="M165"/>
  <c r="M167" s="1"/>
  <c r="K165"/>
  <c r="K167" s="1"/>
  <c r="I165"/>
  <c r="I167" s="1"/>
  <c r="G165"/>
  <c r="G167" s="1"/>
  <c r="F131"/>
  <c r="F132" s="1"/>
  <c r="G131"/>
  <c r="G132" s="1"/>
  <c r="H131"/>
  <c r="H132" s="1"/>
  <c r="I131"/>
  <c r="I132" s="1"/>
  <c r="J131"/>
  <c r="J132" s="1"/>
  <c r="K131"/>
  <c r="K132" s="1"/>
  <c r="L131"/>
  <c r="L132" s="1"/>
  <c r="M131"/>
  <c r="M132" s="1"/>
  <c r="N131"/>
  <c r="N132" s="1"/>
  <c r="O131"/>
  <c r="O132" s="1"/>
  <c r="P131"/>
  <c r="P132" s="1"/>
  <c r="Q131"/>
  <c r="Q132" s="1"/>
  <c r="R131"/>
  <c r="R132" s="1"/>
  <c r="S131"/>
  <c r="S132" s="1"/>
  <c r="T131"/>
  <c r="T132" s="1"/>
  <c r="E131"/>
  <c r="F126"/>
  <c r="F127" s="1"/>
  <c r="G126"/>
  <c r="G127" s="1"/>
  <c r="H126"/>
  <c r="H127" s="1"/>
  <c r="I126"/>
  <c r="I127" s="1"/>
  <c r="J126"/>
  <c r="J127" s="1"/>
  <c r="K126"/>
  <c r="K127" s="1"/>
  <c r="L126"/>
  <c r="L127" s="1"/>
  <c r="M126"/>
  <c r="M127" s="1"/>
  <c r="N126"/>
  <c r="N127" s="1"/>
  <c r="O126"/>
  <c r="O127" s="1"/>
  <c r="P126"/>
  <c r="P127" s="1"/>
  <c r="Q126"/>
  <c r="Q127" s="1"/>
  <c r="R126"/>
  <c r="R127" s="1"/>
  <c r="S126"/>
  <c r="S127" s="1"/>
  <c r="T126"/>
  <c r="T127" s="1"/>
  <c r="E126"/>
  <c r="G116"/>
  <c r="G117" s="1"/>
  <c r="H116"/>
  <c r="H117" s="1"/>
  <c r="I116"/>
  <c r="I117" s="1"/>
  <c r="J116"/>
  <c r="J117" s="1"/>
  <c r="K116"/>
  <c r="K117" s="1"/>
  <c r="L116"/>
  <c r="L117" s="1"/>
  <c r="M116"/>
  <c r="M117" s="1"/>
  <c r="N116"/>
  <c r="N117" s="1"/>
  <c r="O116"/>
  <c r="O117" s="1"/>
  <c r="P116"/>
  <c r="P117" s="1"/>
  <c r="Q116"/>
  <c r="Q117" s="1"/>
  <c r="R116"/>
  <c r="R117" s="1"/>
  <c r="S116"/>
  <c r="S117" s="1"/>
  <c r="T116"/>
  <c r="T117" s="1"/>
  <c r="F116"/>
  <c r="F117" s="1"/>
  <c r="E116"/>
  <c r="E98"/>
  <c r="G98"/>
  <c r="G99" s="1"/>
  <c r="H98"/>
  <c r="I98"/>
  <c r="I99" s="1"/>
  <c r="J98"/>
  <c r="J99" s="1"/>
  <c r="K98"/>
  <c r="K99" s="1"/>
  <c r="L98"/>
  <c r="M98"/>
  <c r="M99" s="1"/>
  <c r="N98"/>
  <c r="N99" s="1"/>
  <c r="O98"/>
  <c r="O99" s="1"/>
  <c r="P98"/>
  <c r="Q98"/>
  <c r="Q99" s="1"/>
  <c r="R98"/>
  <c r="R99" s="1"/>
  <c r="S98"/>
  <c r="S99" s="1"/>
  <c r="T98"/>
  <c r="F98"/>
  <c r="F99" s="1"/>
  <c r="F93"/>
  <c r="F94" s="1"/>
  <c r="G93"/>
  <c r="G94" s="1"/>
  <c r="H93"/>
  <c r="H94" s="1"/>
  <c r="I93"/>
  <c r="I94" s="1"/>
  <c r="J93"/>
  <c r="J94" s="1"/>
  <c r="K93"/>
  <c r="K94" s="1"/>
  <c r="L93"/>
  <c r="L94" s="1"/>
  <c r="M93"/>
  <c r="M94" s="1"/>
  <c r="N93"/>
  <c r="N94" s="1"/>
  <c r="O93"/>
  <c r="O94" s="1"/>
  <c r="P93"/>
  <c r="P94" s="1"/>
  <c r="Q93"/>
  <c r="Q94" s="1"/>
  <c r="R93"/>
  <c r="R94" s="1"/>
  <c r="S93"/>
  <c r="S94" s="1"/>
  <c r="T93"/>
  <c r="T94" s="1"/>
  <c r="E93"/>
  <c r="F83"/>
  <c r="F84" s="1"/>
  <c r="G83"/>
  <c r="H83"/>
  <c r="I83"/>
  <c r="J83"/>
  <c r="K83"/>
  <c r="L83"/>
  <c r="M83"/>
  <c r="N83"/>
  <c r="O83"/>
  <c r="P83"/>
  <c r="Q83"/>
  <c r="R83"/>
  <c r="S83"/>
  <c r="T83"/>
  <c r="E83"/>
  <c r="F64"/>
  <c r="G64"/>
  <c r="G65" s="1"/>
  <c r="H64"/>
  <c r="H65" s="1"/>
  <c r="I64"/>
  <c r="I65" s="1"/>
  <c r="J64"/>
  <c r="J65" s="1"/>
  <c r="K64"/>
  <c r="L64"/>
  <c r="M64"/>
  <c r="N64"/>
  <c r="N65" s="1"/>
  <c r="O64"/>
  <c r="O65" s="1"/>
  <c r="P64"/>
  <c r="P65" s="1"/>
  <c r="Q64"/>
  <c r="Q65" s="1"/>
  <c r="R64"/>
  <c r="R65" s="1"/>
  <c r="S64"/>
  <c r="S65" s="1"/>
  <c r="T64"/>
  <c r="T65" s="1"/>
  <c r="E64"/>
  <c r="F59"/>
  <c r="F60" s="1"/>
  <c r="G59"/>
  <c r="G60" s="1"/>
  <c r="H59"/>
  <c r="H60" s="1"/>
  <c r="I59"/>
  <c r="I60" s="1"/>
  <c r="J59"/>
  <c r="J60" s="1"/>
  <c r="K59"/>
  <c r="K60" s="1"/>
  <c r="L59"/>
  <c r="L60" s="1"/>
  <c r="M59"/>
  <c r="M60" s="1"/>
  <c r="N59"/>
  <c r="N60" s="1"/>
  <c r="O59"/>
  <c r="O60" s="1"/>
  <c r="P59"/>
  <c r="P60" s="1"/>
  <c r="Q59"/>
  <c r="Q60" s="1"/>
  <c r="R59"/>
  <c r="R60" s="1"/>
  <c r="S59"/>
  <c r="S60" s="1"/>
  <c r="T59"/>
  <c r="T60" s="1"/>
  <c r="E59"/>
  <c r="F49"/>
  <c r="F50" s="1"/>
  <c r="G49"/>
  <c r="G50" s="1"/>
  <c r="H49"/>
  <c r="H50" s="1"/>
  <c r="I49"/>
  <c r="I50" s="1"/>
  <c r="J49"/>
  <c r="J50" s="1"/>
  <c r="K49"/>
  <c r="K50" s="1"/>
  <c r="L49"/>
  <c r="L50" s="1"/>
  <c r="M49"/>
  <c r="M50" s="1"/>
  <c r="N49"/>
  <c r="N50" s="1"/>
  <c r="O49"/>
  <c r="O50" s="1"/>
  <c r="P49"/>
  <c r="P50" s="1"/>
  <c r="Q49"/>
  <c r="Q50" s="1"/>
  <c r="R49"/>
  <c r="R50" s="1"/>
  <c r="S49"/>
  <c r="S50" s="1"/>
  <c r="T49"/>
  <c r="T50" s="1"/>
  <c r="E49"/>
  <c r="G25"/>
  <c r="H25"/>
  <c r="H171" s="1"/>
  <c r="H173" s="1"/>
  <c r="I25"/>
  <c r="J25"/>
  <c r="J171" s="1"/>
  <c r="J173" s="1"/>
  <c r="K25"/>
  <c r="L25"/>
  <c r="L171" s="1"/>
  <c r="L173" s="1"/>
  <c r="M25"/>
  <c r="N25"/>
  <c r="N171" s="1"/>
  <c r="N173" s="1"/>
  <c r="O25"/>
  <c r="P25"/>
  <c r="P171" s="1"/>
  <c r="P173" s="1"/>
  <c r="Q25"/>
  <c r="R25"/>
  <c r="R171" s="1"/>
  <c r="R173" s="1"/>
  <c r="S25"/>
  <c r="T25"/>
  <c r="T171" s="1"/>
  <c r="T173" s="1"/>
  <c r="F25"/>
  <c r="F171" s="1"/>
  <c r="F173" s="1"/>
  <c r="E25"/>
  <c r="F30"/>
  <c r="G30"/>
  <c r="G174" s="1"/>
  <c r="G176" s="1"/>
  <c r="H30"/>
  <c r="H174" s="1"/>
  <c r="H176" s="1"/>
  <c r="I30"/>
  <c r="I174" s="1"/>
  <c r="I176" s="1"/>
  <c r="J30"/>
  <c r="J174" s="1"/>
  <c r="J176" s="1"/>
  <c r="K30"/>
  <c r="K174" s="1"/>
  <c r="K176" s="1"/>
  <c r="L30"/>
  <c r="L174" s="1"/>
  <c r="L176" s="1"/>
  <c r="M30"/>
  <c r="M174" s="1"/>
  <c r="M176" s="1"/>
  <c r="N30"/>
  <c r="N174" s="1"/>
  <c r="N176" s="1"/>
  <c r="O30"/>
  <c r="O174" s="1"/>
  <c r="O176" s="1"/>
  <c r="P30"/>
  <c r="P174" s="1"/>
  <c r="P176" s="1"/>
  <c r="Q30"/>
  <c r="Q174" s="1"/>
  <c r="Q176" s="1"/>
  <c r="R30"/>
  <c r="R174" s="1"/>
  <c r="R176" s="1"/>
  <c r="S30"/>
  <c r="S174" s="1"/>
  <c r="S176" s="1"/>
  <c r="T30"/>
  <c r="T174" s="1"/>
  <c r="T176" s="1"/>
  <c r="E30"/>
  <c r="F359" l="1"/>
  <c r="F361" s="1"/>
  <c r="F352"/>
  <c r="H359"/>
  <c r="H361" s="1"/>
  <c r="H352"/>
  <c r="J359"/>
  <c r="J361" s="1"/>
  <c r="J352"/>
  <c r="L359"/>
  <c r="L361" s="1"/>
  <c r="L352"/>
  <c r="N359"/>
  <c r="N361" s="1"/>
  <c r="N352"/>
  <c r="P359"/>
  <c r="P361" s="1"/>
  <c r="P352"/>
  <c r="R359"/>
  <c r="R361" s="1"/>
  <c r="R352"/>
  <c r="T359"/>
  <c r="T361" s="1"/>
  <c r="T352"/>
  <c r="G352"/>
  <c r="G359"/>
  <c r="G361" s="1"/>
  <c r="I352"/>
  <c r="I359"/>
  <c r="I361" s="1"/>
  <c r="K352"/>
  <c r="K359"/>
  <c r="K361" s="1"/>
  <c r="M352"/>
  <c r="M359"/>
  <c r="M361" s="1"/>
  <c r="O352"/>
  <c r="O359"/>
  <c r="O361" s="1"/>
  <c r="Q352"/>
  <c r="Q359"/>
  <c r="Q361" s="1"/>
  <c r="S359"/>
  <c r="S361" s="1"/>
  <c r="S352"/>
  <c r="F31"/>
  <c r="F174"/>
  <c r="F176" s="1"/>
  <c r="S171"/>
  <c r="S173" s="1"/>
  <c r="Q171"/>
  <c r="Q173" s="1"/>
  <c r="O171"/>
  <c r="O173" s="1"/>
  <c r="M171"/>
  <c r="M173" s="1"/>
  <c r="K171"/>
  <c r="K173" s="1"/>
  <c r="I171"/>
  <c r="I173" s="1"/>
  <c r="G171"/>
  <c r="G173" s="1"/>
  <c r="T100"/>
  <c r="T102" s="1"/>
  <c r="R100"/>
  <c r="R102" s="1"/>
  <c r="P100"/>
  <c r="P102" s="1"/>
  <c r="N100"/>
  <c r="N102" s="1"/>
  <c r="L100"/>
  <c r="L102" s="1"/>
  <c r="J100"/>
  <c r="J102" s="1"/>
  <c r="H100"/>
  <c r="H102" s="1"/>
  <c r="T99"/>
  <c r="P99"/>
  <c r="L99"/>
  <c r="H99"/>
  <c r="L66"/>
  <c r="L68" s="1"/>
  <c r="F66"/>
  <c r="F68" s="1"/>
  <c r="Q66"/>
  <c r="Q68" s="1"/>
  <c r="G66"/>
  <c r="G68" s="1"/>
  <c r="F100"/>
  <c r="F102" s="1"/>
  <c r="S100"/>
  <c r="S102" s="1"/>
  <c r="Q100"/>
  <c r="Q102" s="1"/>
  <c r="O100"/>
  <c r="O102" s="1"/>
  <c r="M100"/>
  <c r="M102" s="1"/>
  <c r="K100"/>
  <c r="K102" s="1"/>
  <c r="I100"/>
  <c r="I102" s="1"/>
  <c r="G100"/>
  <c r="G102" s="1"/>
  <c r="M66"/>
  <c r="M68" s="1"/>
  <c r="K66"/>
  <c r="K68" s="1"/>
  <c r="F65"/>
  <c r="N66"/>
  <c r="N68" s="1"/>
  <c r="K65"/>
  <c r="T66"/>
  <c r="T68" s="1"/>
  <c r="S66"/>
  <c r="S68" s="1"/>
  <c r="R66"/>
  <c r="R68" s="1"/>
  <c r="P66"/>
  <c r="P68" s="1"/>
  <c r="O66"/>
  <c r="O68" s="1"/>
  <c r="M65"/>
  <c r="L65"/>
  <c r="J66"/>
  <c r="J68" s="1"/>
  <c r="I66"/>
  <c r="I68" s="1"/>
  <c r="H66"/>
  <c r="H68" s="1"/>
  <c r="H26" l="1"/>
  <c r="J26"/>
  <c r="L26"/>
  <c r="N26"/>
  <c r="P26"/>
  <c r="R26"/>
  <c r="T26"/>
  <c r="G26"/>
  <c r="I26"/>
  <c r="K26"/>
  <c r="M26"/>
  <c r="O26"/>
  <c r="Q26"/>
  <c r="S26"/>
  <c r="F26"/>
  <c r="F14" l="1"/>
  <c r="F168" s="1"/>
  <c r="G14"/>
  <c r="G168" s="1"/>
  <c r="H14"/>
  <c r="H168" s="1"/>
  <c r="I14"/>
  <c r="J14"/>
  <c r="J168" s="1"/>
  <c r="K14"/>
  <c r="K168" s="1"/>
  <c r="L14"/>
  <c r="L168" s="1"/>
  <c r="M14"/>
  <c r="M168" s="1"/>
  <c r="N14"/>
  <c r="N168" s="1"/>
  <c r="O14"/>
  <c r="O168" s="1"/>
  <c r="P14"/>
  <c r="P168" s="1"/>
  <c r="Q14"/>
  <c r="Q168" s="1"/>
  <c r="R14"/>
  <c r="R168" s="1"/>
  <c r="S14"/>
  <c r="S168" s="1"/>
  <c r="T14"/>
  <c r="T168" s="1"/>
  <c r="E14"/>
  <c r="S177" l="1"/>
  <c r="S179" s="1"/>
  <c r="S170"/>
  <c r="Q177"/>
  <c r="Q179" s="1"/>
  <c r="Q170"/>
  <c r="O177"/>
  <c r="O179" s="1"/>
  <c r="O170"/>
  <c r="M177"/>
  <c r="M179" s="1"/>
  <c r="M170"/>
  <c r="K177"/>
  <c r="K179" s="1"/>
  <c r="K170"/>
  <c r="I32"/>
  <c r="I34" s="1"/>
  <c r="I168"/>
  <c r="G177"/>
  <c r="G179" s="1"/>
  <c r="G170"/>
  <c r="T177"/>
  <c r="T179" s="1"/>
  <c r="T170"/>
  <c r="R177"/>
  <c r="R179" s="1"/>
  <c r="R170"/>
  <c r="P177"/>
  <c r="P179" s="1"/>
  <c r="P170"/>
  <c r="N177"/>
  <c r="N179" s="1"/>
  <c r="N170"/>
  <c r="L177"/>
  <c r="L179" s="1"/>
  <c r="L170"/>
  <c r="J177"/>
  <c r="J179" s="1"/>
  <c r="J170"/>
  <c r="H177"/>
  <c r="H179" s="1"/>
  <c r="H170"/>
  <c r="F177"/>
  <c r="F179" s="1"/>
  <c r="F170"/>
  <c r="S15"/>
  <c r="S32"/>
  <c r="S34" s="1"/>
  <c r="Q15"/>
  <c r="Q32"/>
  <c r="Q34" s="1"/>
  <c r="O15"/>
  <c r="O32"/>
  <c r="O34" s="1"/>
  <c r="M15"/>
  <c r="M32"/>
  <c r="M34" s="1"/>
  <c r="K15"/>
  <c r="K32"/>
  <c r="K34" s="1"/>
  <c r="G15"/>
  <c r="G32"/>
  <c r="G34" s="1"/>
  <c r="I15"/>
  <c r="T15"/>
  <c r="T32"/>
  <c r="T34" s="1"/>
  <c r="R15"/>
  <c r="R32"/>
  <c r="R34" s="1"/>
  <c r="P15"/>
  <c r="P32"/>
  <c r="P34" s="1"/>
  <c r="N15"/>
  <c r="N32"/>
  <c r="N34" s="1"/>
  <c r="L15"/>
  <c r="L32"/>
  <c r="L34" s="1"/>
  <c r="J15"/>
  <c r="J32"/>
  <c r="J34" s="1"/>
  <c r="H15"/>
  <c r="H32"/>
  <c r="H34" s="1"/>
  <c r="F15"/>
  <c r="F32"/>
  <c r="F34" s="1"/>
  <c r="I177" l="1"/>
  <c r="I179" s="1"/>
  <c r="I170"/>
  <c r="F151" i="10"/>
  <c r="F152" s="1"/>
  <c r="G345" l="1"/>
  <c r="H345"/>
  <c r="I345"/>
  <c r="J345"/>
  <c r="K345"/>
  <c r="L345"/>
  <c r="M345"/>
  <c r="N345"/>
  <c r="O345"/>
  <c r="P345"/>
  <c r="Q345"/>
  <c r="R345"/>
  <c r="S345"/>
  <c r="T345"/>
  <c r="G266"/>
  <c r="H266"/>
  <c r="I266"/>
  <c r="J266"/>
  <c r="K266"/>
  <c r="L266"/>
  <c r="M266"/>
  <c r="N266"/>
  <c r="O266"/>
  <c r="P266"/>
  <c r="Q266"/>
  <c r="R266"/>
  <c r="S266"/>
  <c r="T266"/>
  <c r="G97"/>
  <c r="H97"/>
  <c r="I97"/>
  <c r="J97"/>
  <c r="K97"/>
  <c r="L97"/>
  <c r="M97"/>
  <c r="N97"/>
  <c r="O97"/>
  <c r="P97"/>
  <c r="Q97"/>
  <c r="R97"/>
  <c r="S97"/>
  <c r="T97"/>
  <c r="G51"/>
  <c r="H51"/>
  <c r="I51"/>
  <c r="J51"/>
  <c r="K51"/>
  <c r="L51"/>
  <c r="M51"/>
  <c r="N51"/>
  <c r="O51"/>
  <c r="P51"/>
  <c r="Q51"/>
  <c r="R51"/>
  <c r="S51"/>
  <c r="T51"/>
  <c r="G311"/>
  <c r="G312" s="1"/>
  <c r="H311"/>
  <c r="H312" s="1"/>
  <c r="I311"/>
  <c r="I312" s="1"/>
  <c r="J311"/>
  <c r="J312" s="1"/>
  <c r="K311"/>
  <c r="K312" s="1"/>
  <c r="L311"/>
  <c r="L312" s="1"/>
  <c r="M311"/>
  <c r="M312" s="1"/>
  <c r="N311"/>
  <c r="N312" s="1"/>
  <c r="O311"/>
  <c r="O312" s="1"/>
  <c r="P311"/>
  <c r="P312" s="1"/>
  <c r="Q311"/>
  <c r="Q312" s="1"/>
  <c r="R311"/>
  <c r="R312" s="1"/>
  <c r="S311"/>
  <c r="S312" s="1"/>
  <c r="T311"/>
  <c r="T312" s="1"/>
  <c r="G275"/>
  <c r="H275"/>
  <c r="I275"/>
  <c r="J275"/>
  <c r="K275"/>
  <c r="L275"/>
  <c r="M275"/>
  <c r="N275"/>
  <c r="O275"/>
  <c r="P275"/>
  <c r="Q275"/>
  <c r="R275"/>
  <c r="S275"/>
  <c r="T275"/>
  <c r="F275"/>
  <c r="E275"/>
  <c r="E241"/>
  <c r="F207"/>
  <c r="G207"/>
  <c r="H207"/>
  <c r="I207"/>
  <c r="J207"/>
  <c r="K207"/>
  <c r="L207"/>
  <c r="M207"/>
  <c r="N207"/>
  <c r="O207"/>
  <c r="P207"/>
  <c r="Q207"/>
  <c r="R207"/>
  <c r="S207"/>
  <c r="T207"/>
  <c r="E207"/>
  <c r="G161"/>
  <c r="H161"/>
  <c r="I161"/>
  <c r="J161"/>
  <c r="K161"/>
  <c r="L161"/>
  <c r="M161"/>
  <c r="N161"/>
  <c r="O161"/>
  <c r="P161"/>
  <c r="Q161"/>
  <c r="R161"/>
  <c r="S161"/>
  <c r="T161"/>
  <c r="F161"/>
  <c r="E161"/>
  <c r="G129"/>
  <c r="H129"/>
  <c r="I129"/>
  <c r="J129"/>
  <c r="K129"/>
  <c r="L129"/>
  <c r="M129"/>
  <c r="N129"/>
  <c r="O129"/>
  <c r="P129"/>
  <c r="Q129"/>
  <c r="R129"/>
  <c r="S129"/>
  <c r="T129"/>
  <c r="E129"/>
  <c r="F61"/>
  <c r="G61"/>
  <c r="H61"/>
  <c r="I61"/>
  <c r="J61"/>
  <c r="K61"/>
  <c r="L61"/>
  <c r="M61"/>
  <c r="N61"/>
  <c r="O61"/>
  <c r="P61"/>
  <c r="Q61"/>
  <c r="R61"/>
  <c r="S61"/>
  <c r="T61"/>
  <c r="E61"/>
  <c r="G26"/>
  <c r="G27" s="1"/>
  <c r="H26"/>
  <c r="I26"/>
  <c r="J26"/>
  <c r="J27" s="1"/>
  <c r="K26"/>
  <c r="L26"/>
  <c r="M26"/>
  <c r="N26"/>
  <c r="N27" s="1"/>
  <c r="O26"/>
  <c r="P26"/>
  <c r="Q26"/>
  <c r="Q27" s="1"/>
  <c r="R26"/>
  <c r="R27" s="1"/>
  <c r="S26"/>
  <c r="T26"/>
  <c r="F26"/>
  <c r="E26"/>
  <c r="T27" l="1"/>
  <c r="T174"/>
  <c r="S27"/>
  <c r="S174"/>
  <c r="P27"/>
  <c r="P174"/>
  <c r="O27"/>
  <c r="O174"/>
  <c r="M27"/>
  <c r="M174"/>
  <c r="L27"/>
  <c r="L174"/>
  <c r="K27"/>
  <c r="K174"/>
  <c r="I27"/>
  <c r="I174"/>
  <c r="H27"/>
  <c r="H174"/>
  <c r="F27"/>
  <c r="F174"/>
  <c r="T276"/>
  <c r="T282"/>
  <c r="T284" s="1"/>
  <c r="R276"/>
  <c r="R282"/>
  <c r="R284" s="1"/>
  <c r="P276"/>
  <c r="P282"/>
  <c r="P284" s="1"/>
  <c r="N276"/>
  <c r="N282"/>
  <c r="N284" s="1"/>
  <c r="L276"/>
  <c r="L282"/>
  <c r="L284" s="1"/>
  <c r="J276"/>
  <c r="J282"/>
  <c r="J284" s="1"/>
  <c r="H276"/>
  <c r="H282"/>
  <c r="H284" s="1"/>
  <c r="F276"/>
  <c r="F282"/>
  <c r="F284" s="1"/>
  <c r="S276"/>
  <c r="S282"/>
  <c r="S284" s="1"/>
  <c r="Q276"/>
  <c r="Q282"/>
  <c r="Q284" s="1"/>
  <c r="O276"/>
  <c r="O282"/>
  <c r="O284" s="1"/>
  <c r="M276"/>
  <c r="M282"/>
  <c r="M284" s="1"/>
  <c r="K276"/>
  <c r="K282"/>
  <c r="K284" s="1"/>
  <c r="I276"/>
  <c r="I282"/>
  <c r="I284" s="1"/>
  <c r="G276"/>
  <c r="G282"/>
  <c r="G284" s="1"/>
  <c r="T208"/>
  <c r="R208"/>
  <c r="P208"/>
  <c r="N208"/>
  <c r="L208"/>
  <c r="J208"/>
  <c r="H208"/>
  <c r="F208"/>
  <c r="S208"/>
  <c r="Q208"/>
  <c r="O208"/>
  <c r="M208"/>
  <c r="K208"/>
  <c r="I208"/>
  <c r="G208"/>
  <c r="T162"/>
  <c r="R162"/>
  <c r="P162"/>
  <c r="N162"/>
  <c r="L162"/>
  <c r="J162"/>
  <c r="H162"/>
  <c r="F162"/>
  <c r="F168"/>
  <c r="F170" s="1"/>
  <c r="S162"/>
  <c r="Q162"/>
  <c r="O162"/>
  <c r="M162"/>
  <c r="K162"/>
  <c r="I162"/>
  <c r="G162"/>
  <c r="S130"/>
  <c r="Q130"/>
  <c r="O130"/>
  <c r="M130"/>
  <c r="K130"/>
  <c r="G130"/>
  <c r="T130"/>
  <c r="R130"/>
  <c r="P130"/>
  <c r="N130"/>
  <c r="L130"/>
  <c r="J130"/>
  <c r="H130"/>
  <c r="I130"/>
  <c r="S62"/>
  <c r="S68"/>
  <c r="S70" s="1"/>
  <c r="Q62"/>
  <c r="Q68"/>
  <c r="Q70" s="1"/>
  <c r="O62"/>
  <c r="O68"/>
  <c r="O70" s="1"/>
  <c r="M62"/>
  <c r="M68"/>
  <c r="M70" s="1"/>
  <c r="K62"/>
  <c r="K68"/>
  <c r="K70" s="1"/>
  <c r="I62"/>
  <c r="I68"/>
  <c r="I70" s="1"/>
  <c r="G62"/>
  <c r="G68"/>
  <c r="G70" s="1"/>
  <c r="T62"/>
  <c r="T68"/>
  <c r="T70" s="1"/>
  <c r="R62"/>
  <c r="R68"/>
  <c r="R70" s="1"/>
  <c r="P62"/>
  <c r="P68"/>
  <c r="P70" s="1"/>
  <c r="N62"/>
  <c r="N68"/>
  <c r="N70" s="1"/>
  <c r="L62"/>
  <c r="L68"/>
  <c r="L70" s="1"/>
  <c r="J62"/>
  <c r="J68"/>
  <c r="J70" s="1"/>
  <c r="H62"/>
  <c r="H68"/>
  <c r="H70" s="1"/>
  <c r="F62"/>
  <c r="F334"/>
  <c r="F335" s="1"/>
  <c r="G334"/>
  <c r="G335" s="1"/>
  <c r="H334"/>
  <c r="H335" s="1"/>
  <c r="I334"/>
  <c r="I335" s="1"/>
  <c r="J334"/>
  <c r="J335" s="1"/>
  <c r="K334"/>
  <c r="K335" s="1"/>
  <c r="L334"/>
  <c r="L335" s="1"/>
  <c r="M334"/>
  <c r="M335" s="1"/>
  <c r="N334"/>
  <c r="N335" s="1"/>
  <c r="O334"/>
  <c r="O335" s="1"/>
  <c r="P334"/>
  <c r="P335" s="1"/>
  <c r="Q334"/>
  <c r="Q335" s="1"/>
  <c r="R334"/>
  <c r="R335" s="1"/>
  <c r="S334"/>
  <c r="S335" s="1"/>
  <c r="T334"/>
  <c r="T335" s="1"/>
  <c r="G301"/>
  <c r="G302" s="1"/>
  <c r="H301"/>
  <c r="H302" s="1"/>
  <c r="I301"/>
  <c r="I302" s="1"/>
  <c r="J301"/>
  <c r="J302" s="1"/>
  <c r="K301"/>
  <c r="K302" s="1"/>
  <c r="L301"/>
  <c r="L302" s="1"/>
  <c r="M301"/>
  <c r="M302" s="1"/>
  <c r="N301"/>
  <c r="N302" s="1"/>
  <c r="O301"/>
  <c r="O302" s="1"/>
  <c r="P301"/>
  <c r="P302" s="1"/>
  <c r="Q301"/>
  <c r="Q302" s="1"/>
  <c r="R301"/>
  <c r="R302" s="1"/>
  <c r="S301"/>
  <c r="S302" s="1"/>
  <c r="T301"/>
  <c r="T302" s="1"/>
  <c r="G231"/>
  <c r="H231"/>
  <c r="I231"/>
  <c r="J231"/>
  <c r="K231"/>
  <c r="L231"/>
  <c r="M231"/>
  <c r="N231"/>
  <c r="O231"/>
  <c r="P231"/>
  <c r="Q231"/>
  <c r="R231"/>
  <c r="S231"/>
  <c r="T231"/>
  <c r="E231"/>
  <c r="F196"/>
  <c r="F197" s="1"/>
  <c r="G196"/>
  <c r="G197" s="1"/>
  <c r="H196"/>
  <c r="H197" s="1"/>
  <c r="I196"/>
  <c r="I197" s="1"/>
  <c r="J196"/>
  <c r="J197" s="1"/>
  <c r="K196"/>
  <c r="K197" s="1"/>
  <c r="L196"/>
  <c r="L197" s="1"/>
  <c r="M196"/>
  <c r="M197" s="1"/>
  <c r="N196"/>
  <c r="N197" s="1"/>
  <c r="O196"/>
  <c r="O197" s="1"/>
  <c r="P196"/>
  <c r="P197" s="1"/>
  <c r="Q196"/>
  <c r="Q197" s="1"/>
  <c r="R196"/>
  <c r="R197" s="1"/>
  <c r="S196"/>
  <c r="S197" s="1"/>
  <c r="T196"/>
  <c r="T197" s="1"/>
  <c r="E196"/>
  <c r="E151"/>
  <c r="G151"/>
  <c r="G152" s="1"/>
  <c r="H151"/>
  <c r="H152" s="1"/>
  <c r="I151"/>
  <c r="I152" s="1"/>
  <c r="J151"/>
  <c r="J152" s="1"/>
  <c r="K151"/>
  <c r="K152" s="1"/>
  <c r="L151"/>
  <c r="L152" s="1"/>
  <c r="M151"/>
  <c r="M152" s="1"/>
  <c r="N151"/>
  <c r="N152" s="1"/>
  <c r="O151"/>
  <c r="O152" s="1"/>
  <c r="P151"/>
  <c r="P152" s="1"/>
  <c r="Q151"/>
  <c r="Q152" s="1"/>
  <c r="R151"/>
  <c r="R152" s="1"/>
  <c r="S151"/>
  <c r="S152" s="1"/>
  <c r="T151"/>
  <c r="T152" s="1"/>
  <c r="H119"/>
  <c r="H120" s="1"/>
  <c r="I119"/>
  <c r="I120" s="1"/>
  <c r="J119"/>
  <c r="J120" s="1"/>
  <c r="K119"/>
  <c r="K120" s="1"/>
  <c r="L119"/>
  <c r="L120" s="1"/>
  <c r="M119"/>
  <c r="M120" s="1"/>
  <c r="N119"/>
  <c r="N120" s="1"/>
  <c r="O119"/>
  <c r="O120" s="1"/>
  <c r="P119"/>
  <c r="P120" s="1"/>
  <c r="Q119"/>
  <c r="Q120" s="1"/>
  <c r="R119"/>
  <c r="R120" s="1"/>
  <c r="S119"/>
  <c r="S120" s="1"/>
  <c r="T119"/>
  <c r="T120" s="1"/>
  <c r="G119"/>
  <c r="G120" s="1"/>
  <c r="G86"/>
  <c r="H86"/>
  <c r="I86"/>
  <c r="J86"/>
  <c r="K86"/>
  <c r="L86"/>
  <c r="M86"/>
  <c r="N86"/>
  <c r="O86"/>
  <c r="P86"/>
  <c r="Q86"/>
  <c r="R86"/>
  <c r="S86"/>
  <c r="T86"/>
  <c r="F51"/>
  <c r="F52" s="1"/>
  <c r="E51"/>
  <c r="F14"/>
  <c r="G14"/>
  <c r="H14"/>
  <c r="I14"/>
  <c r="J14"/>
  <c r="K14"/>
  <c r="L14"/>
  <c r="M14"/>
  <c r="N14"/>
  <c r="O14"/>
  <c r="P14"/>
  <c r="Q14"/>
  <c r="R14"/>
  <c r="S14"/>
  <c r="T14"/>
  <c r="E14"/>
  <c r="T176" l="1"/>
  <c r="T180"/>
  <c r="T182" s="1"/>
  <c r="S180"/>
  <c r="S182" s="1"/>
  <c r="S176"/>
  <c r="P176"/>
  <c r="P180"/>
  <c r="P182" s="1"/>
  <c r="O180"/>
  <c r="O182" s="1"/>
  <c r="O176"/>
  <c r="M180"/>
  <c r="M182" s="1"/>
  <c r="M176"/>
  <c r="L176"/>
  <c r="L180"/>
  <c r="L182" s="1"/>
  <c r="K180"/>
  <c r="K182" s="1"/>
  <c r="K176"/>
  <c r="I180"/>
  <c r="I182" s="1"/>
  <c r="I176"/>
  <c r="H176"/>
  <c r="H180"/>
  <c r="H182" s="1"/>
  <c r="F180"/>
  <c r="F182" s="1"/>
  <c r="F176"/>
  <c r="T232"/>
  <c r="T248"/>
  <c r="T250" s="1"/>
  <c r="R232"/>
  <c r="R248"/>
  <c r="R250" s="1"/>
  <c r="P232"/>
  <c r="P248"/>
  <c r="P250" s="1"/>
  <c r="N232"/>
  <c r="N248"/>
  <c r="N250" s="1"/>
  <c r="L232"/>
  <c r="L248"/>
  <c r="L250" s="1"/>
  <c r="J232"/>
  <c r="J248"/>
  <c r="J250" s="1"/>
  <c r="H232"/>
  <c r="H248"/>
  <c r="H250" s="1"/>
  <c r="S232"/>
  <c r="S248"/>
  <c r="S250" s="1"/>
  <c r="Q232"/>
  <c r="Q248"/>
  <c r="Q250" s="1"/>
  <c r="O232"/>
  <c r="O248"/>
  <c r="O250" s="1"/>
  <c r="M232"/>
  <c r="M248"/>
  <c r="M250" s="1"/>
  <c r="K232"/>
  <c r="K248"/>
  <c r="K250" s="1"/>
  <c r="I232"/>
  <c r="I248"/>
  <c r="I250" s="1"/>
  <c r="G232"/>
  <c r="G248"/>
  <c r="G250" s="1"/>
  <c r="G214"/>
  <c r="G216" s="1"/>
  <c r="I214"/>
  <c r="I216" s="1"/>
  <c r="K214"/>
  <c r="K216" s="1"/>
  <c r="M214"/>
  <c r="M216" s="1"/>
  <c r="O214"/>
  <c r="O216" s="1"/>
  <c r="Q214"/>
  <c r="Q216" s="1"/>
  <c r="S214"/>
  <c r="S216" s="1"/>
  <c r="F214"/>
  <c r="F216" s="1"/>
  <c r="H214"/>
  <c r="H216" s="1"/>
  <c r="J214"/>
  <c r="J216" s="1"/>
  <c r="L214"/>
  <c r="L216" s="1"/>
  <c r="N214"/>
  <c r="N216" s="1"/>
  <c r="P214"/>
  <c r="P216" s="1"/>
  <c r="R214"/>
  <c r="R216" s="1"/>
  <c r="T214"/>
  <c r="T216" s="1"/>
  <c r="I136"/>
  <c r="I138" s="1"/>
  <c r="H136"/>
  <c r="H138" s="1"/>
  <c r="J136"/>
  <c r="J138" s="1"/>
  <c r="L136"/>
  <c r="L138" s="1"/>
  <c r="N136"/>
  <c r="N138" s="1"/>
  <c r="P136"/>
  <c r="P138" s="1"/>
  <c r="R136"/>
  <c r="R138" s="1"/>
  <c r="T136"/>
  <c r="T138" s="1"/>
  <c r="G136"/>
  <c r="G138" s="1"/>
  <c r="K136"/>
  <c r="K138" s="1"/>
  <c r="M136"/>
  <c r="M138" s="1"/>
  <c r="O136"/>
  <c r="O138" s="1"/>
  <c r="Q136"/>
  <c r="Q138" s="1"/>
  <c r="S136"/>
  <c r="S138" s="1"/>
  <c r="G168"/>
  <c r="G170" s="1"/>
  <c r="I168"/>
  <c r="I170" s="1"/>
  <c r="K168"/>
  <c r="K170" s="1"/>
  <c r="M168"/>
  <c r="M170" s="1"/>
  <c r="O168"/>
  <c r="O170" s="1"/>
  <c r="Q168"/>
  <c r="Q170" s="1"/>
  <c r="S168"/>
  <c r="S170" s="1"/>
  <c r="H168"/>
  <c r="H170" s="1"/>
  <c r="J168"/>
  <c r="J170" s="1"/>
  <c r="L168"/>
  <c r="L170" s="1"/>
  <c r="N168"/>
  <c r="N170" s="1"/>
  <c r="P168"/>
  <c r="P170" s="1"/>
  <c r="R168"/>
  <c r="R170" s="1"/>
  <c r="T168"/>
  <c r="T170" s="1"/>
  <c r="T87"/>
  <c r="T103"/>
  <c r="T105" s="1"/>
  <c r="R87"/>
  <c r="R103"/>
  <c r="R105" s="1"/>
  <c r="P87"/>
  <c r="P103"/>
  <c r="P105" s="1"/>
  <c r="N87"/>
  <c r="N103"/>
  <c r="N105" s="1"/>
  <c r="L87"/>
  <c r="L103"/>
  <c r="L105" s="1"/>
  <c r="J87"/>
  <c r="J103"/>
  <c r="J105" s="1"/>
  <c r="H87"/>
  <c r="H103"/>
  <c r="H105" s="1"/>
  <c r="S87"/>
  <c r="S103"/>
  <c r="S105" s="1"/>
  <c r="Q87"/>
  <c r="Q103"/>
  <c r="Q105" s="1"/>
  <c r="O87"/>
  <c r="O103"/>
  <c r="O105" s="1"/>
  <c r="M87"/>
  <c r="M103"/>
  <c r="M105" s="1"/>
  <c r="K87"/>
  <c r="K103"/>
  <c r="K105" s="1"/>
  <c r="I87"/>
  <c r="I103"/>
  <c r="I105" s="1"/>
  <c r="G87"/>
  <c r="G103"/>
  <c r="G105" s="1"/>
  <c r="F68"/>
  <c r="F70" s="1"/>
  <c r="R15"/>
  <c r="R34"/>
  <c r="R36" s="1"/>
  <c r="N15"/>
  <c r="N34"/>
  <c r="N36" s="1"/>
  <c r="J15"/>
  <c r="J34"/>
  <c r="J36" s="1"/>
  <c r="S15"/>
  <c r="S34"/>
  <c r="S36" s="1"/>
  <c r="Q15"/>
  <c r="Q34"/>
  <c r="Q36" s="1"/>
  <c r="O15"/>
  <c r="O34"/>
  <c r="O36" s="1"/>
  <c r="M15"/>
  <c r="M34"/>
  <c r="M36" s="1"/>
  <c r="K15"/>
  <c r="K34"/>
  <c r="K36" s="1"/>
  <c r="I15"/>
  <c r="I34"/>
  <c r="I36" s="1"/>
  <c r="G15"/>
  <c r="G34"/>
  <c r="G36" s="1"/>
  <c r="T15"/>
  <c r="T34"/>
  <c r="T36" s="1"/>
  <c r="P15"/>
  <c r="P34"/>
  <c r="P36" s="1"/>
  <c r="L15"/>
  <c r="L34"/>
  <c r="L36" s="1"/>
  <c r="H15"/>
  <c r="H34"/>
  <c r="H36" s="1"/>
  <c r="F15"/>
  <c r="F34"/>
  <c r="F36" s="1"/>
  <c r="T45" i="7" l="1"/>
  <c r="V45" s="1"/>
  <c r="T44"/>
  <c r="V44" s="1"/>
  <c r="T43"/>
  <c r="V43" s="1"/>
  <c r="T42"/>
  <c r="V42" s="1"/>
  <c r="T41"/>
  <c r="V41" s="1"/>
  <c r="V40"/>
  <c r="T40"/>
  <c r="AE40" s="1"/>
  <c r="AE101" i="6"/>
  <c r="AE100"/>
  <c r="AE99"/>
  <c r="AE98" s="1"/>
  <c r="AE100" i="7"/>
  <c r="AE101"/>
  <c r="AE99"/>
  <c r="AE98" s="1"/>
  <c r="AE329"/>
  <c r="AE326"/>
  <c r="AE325"/>
  <c r="AE324" s="1"/>
  <c r="AE322"/>
  <c r="AE319"/>
  <c r="AE318"/>
  <c r="AE317"/>
  <c r="AE316"/>
  <c r="AE315"/>
  <c r="AE314"/>
  <c r="AE313" s="1"/>
  <c r="AE311"/>
  <c r="AE309"/>
  <c r="AE308"/>
  <c r="AE307"/>
  <c r="AE306"/>
  <c r="AE305" s="1"/>
  <c r="AE303"/>
  <c r="AE300"/>
  <c r="AE299"/>
  <c r="AE298"/>
  <c r="AE296" s="1"/>
  <c r="AE297"/>
  <c r="AE294"/>
  <c r="AE291"/>
  <c r="AE290"/>
  <c r="AE289"/>
  <c r="AE285"/>
  <c r="AE284"/>
  <c r="AE283"/>
  <c r="AE282"/>
  <c r="AE281"/>
  <c r="AE280"/>
  <c r="AE279"/>
  <c r="AE278"/>
  <c r="AE277"/>
  <c r="AE276"/>
  <c r="AE275"/>
  <c r="AE274"/>
  <c r="AE273"/>
  <c r="AE272"/>
  <c r="AE271" s="1"/>
  <c r="AE269"/>
  <c r="AE266"/>
  <c r="AE265"/>
  <c r="AE264"/>
  <c r="AE263"/>
  <c r="AE262"/>
  <c r="AE261" s="1"/>
  <c r="V262"/>
  <c r="AE259"/>
  <c r="AE257"/>
  <c r="AE254"/>
  <c r="AE253"/>
  <c r="AE252"/>
  <c r="AE251"/>
  <c r="AE250"/>
  <c r="AE249"/>
  <c r="AE248"/>
  <c r="AE247"/>
  <c r="AE246"/>
  <c r="AE245" s="1"/>
  <c r="T242"/>
  <c r="U242" s="1"/>
  <c r="AE239"/>
  <c r="AE236"/>
  <c r="AE233"/>
  <c r="AE232"/>
  <c r="AE228"/>
  <c r="AE227"/>
  <c r="AE226"/>
  <c r="AE225"/>
  <c r="AE224"/>
  <c r="AE220"/>
  <c r="AE219"/>
  <c r="AE218"/>
  <c r="AE217"/>
  <c r="AE216"/>
  <c r="AE215"/>
  <c r="AE214"/>
  <c r="AE213"/>
  <c r="AE212"/>
  <c r="AE211"/>
  <c r="AE210"/>
  <c r="AE207"/>
  <c r="AE205"/>
  <c r="AE203"/>
  <c r="AE202"/>
  <c r="AE201"/>
  <c r="AE200"/>
  <c r="AE199"/>
  <c r="AE196"/>
  <c r="AE193"/>
  <c r="AE192"/>
  <c r="AE191"/>
  <c r="AE190"/>
  <c r="T186"/>
  <c r="V186" s="1"/>
  <c r="T185"/>
  <c r="AE185" s="1"/>
  <c r="T184"/>
  <c r="V184" s="1"/>
  <c r="V183"/>
  <c r="T183"/>
  <c r="AE183" s="1"/>
  <c r="T182"/>
  <c r="V182" s="1"/>
  <c r="AE179"/>
  <c r="AE177"/>
  <c r="AE174"/>
  <c r="AE172"/>
  <c r="V169"/>
  <c r="T169"/>
  <c r="AE169" s="1"/>
  <c r="V168"/>
  <c r="T168"/>
  <c r="AE168" s="1"/>
  <c r="V167"/>
  <c r="T167"/>
  <c r="AE167" s="1"/>
  <c r="V166"/>
  <c r="T166"/>
  <c r="AE166" s="1"/>
  <c r="AE165" s="1"/>
  <c r="T162"/>
  <c r="V162" s="1"/>
  <c r="T161"/>
  <c r="AE161" s="1"/>
  <c r="T160"/>
  <c r="V160" s="1"/>
  <c r="V159"/>
  <c r="T159"/>
  <c r="AE159" s="1"/>
  <c r="T158"/>
  <c r="V158" s="1"/>
  <c r="T157"/>
  <c r="AE157" s="1"/>
  <c r="T156"/>
  <c r="V156" s="1"/>
  <c r="V155"/>
  <c r="T155"/>
  <c r="AE155" s="1"/>
  <c r="V154"/>
  <c r="T154"/>
  <c r="AE154" s="1"/>
  <c r="AE151"/>
  <c r="AE146"/>
  <c r="AE145"/>
  <c r="AE144"/>
  <c r="AE142"/>
  <c r="AE140"/>
  <c r="AE137"/>
  <c r="AE136"/>
  <c r="AE135"/>
  <c r="AE134"/>
  <c r="AE133"/>
  <c r="AE132"/>
  <c r="AE131" s="1"/>
  <c r="AE129"/>
  <c r="AE127"/>
  <c r="AE124"/>
  <c r="AE123"/>
  <c r="B124" s="1"/>
  <c r="AE121"/>
  <c r="AE118"/>
  <c r="AE117"/>
  <c r="AE116"/>
  <c r="AE115" s="1"/>
  <c r="AE95"/>
  <c r="AE93"/>
  <c r="AE90"/>
  <c r="AE89"/>
  <c r="AE88" s="1"/>
  <c r="AE85"/>
  <c r="AE84"/>
  <c r="AE83"/>
  <c r="AE82"/>
  <c r="AE81"/>
  <c r="AE80"/>
  <c r="AE79"/>
  <c r="AE78"/>
  <c r="AE77"/>
  <c r="AE76"/>
  <c r="AE75"/>
  <c r="AE74" s="1"/>
  <c r="AG70" s="1"/>
  <c r="AE71"/>
  <c r="AE70" s="1"/>
  <c r="AE67"/>
  <c r="AE66"/>
  <c r="AE65"/>
  <c r="AE64" s="1"/>
  <c r="AE61"/>
  <c r="AE58"/>
  <c r="AE57"/>
  <c r="AE56"/>
  <c r="AE55"/>
  <c r="AE54" s="1"/>
  <c r="AE51"/>
  <c r="AE50"/>
  <c r="AE49"/>
  <c r="AE45"/>
  <c r="AE43"/>
  <c r="AE41"/>
  <c r="AE36"/>
  <c r="AE34"/>
  <c r="AE32"/>
  <c r="AE31"/>
  <c r="AE30"/>
  <c r="AE29"/>
  <c r="AE28" s="1"/>
  <c r="AE26"/>
  <c r="Z24"/>
  <c r="V23"/>
  <c r="Z23" s="1"/>
  <c r="T23"/>
  <c r="AE23" s="1"/>
  <c r="T22"/>
  <c r="V22" s="1"/>
  <c r="Z22" s="1"/>
  <c r="T21"/>
  <c r="AE21" s="1"/>
  <c r="T20"/>
  <c r="V20" s="1"/>
  <c r="Z20" s="1"/>
  <c r="T13"/>
  <c r="V13" s="1"/>
  <c r="T12"/>
  <c r="AE12" s="1"/>
  <c r="T11"/>
  <c r="V11" s="1"/>
  <c r="V10"/>
  <c r="T10"/>
  <c r="AE10" s="1"/>
  <c r="T9"/>
  <c r="V9" s="1"/>
  <c r="V8"/>
  <c r="T8"/>
  <c r="AE8" s="1"/>
  <c r="AE4"/>
  <c r="AE3"/>
  <c r="AE262" i="6"/>
  <c r="AE223" i="7" l="1"/>
  <c r="B96"/>
  <c r="AE189"/>
  <c r="AE209"/>
  <c r="AE231"/>
  <c r="B199"/>
  <c r="B262"/>
  <c r="V12"/>
  <c r="V21"/>
  <c r="Z21" s="1"/>
  <c r="AE48"/>
  <c r="V185"/>
  <c r="AE288"/>
  <c r="AE42"/>
  <c r="AE44"/>
  <c r="B64"/>
  <c r="V157"/>
  <c r="V161"/>
  <c r="B305"/>
  <c r="AE9"/>
  <c r="AE11"/>
  <c r="AE13"/>
  <c r="X20"/>
  <c r="AE20"/>
  <c r="X22"/>
  <c r="AE22"/>
  <c r="AE156"/>
  <c r="AE158"/>
  <c r="AE160"/>
  <c r="AE162"/>
  <c r="AE182"/>
  <c r="AE184"/>
  <c r="AE186"/>
  <c r="AE242"/>
  <c r="AE241" s="1"/>
  <c r="B239" s="1"/>
  <c r="X21"/>
  <c r="X23"/>
  <c r="AE329" i="6"/>
  <c r="AE326"/>
  <c r="AE325"/>
  <c r="AE322"/>
  <c r="AE319"/>
  <c r="AE318"/>
  <c r="AE317"/>
  <c r="AE316"/>
  <c r="AE315"/>
  <c r="AE314"/>
  <c r="AE313" s="1"/>
  <c r="AE311"/>
  <c r="AE309"/>
  <c r="AE308"/>
  <c r="AE307"/>
  <c r="AE305" s="1"/>
  <c r="AE306"/>
  <c r="AE303"/>
  <c r="AE300"/>
  <c r="AE299"/>
  <c r="AE298"/>
  <c r="AE297"/>
  <c r="AE296" s="1"/>
  <c r="AE294"/>
  <c r="AE291"/>
  <c r="AE290"/>
  <c r="AE289"/>
  <c r="AE288" s="1"/>
  <c r="AE285"/>
  <c r="AE284"/>
  <c r="AE283"/>
  <c r="AE282"/>
  <c r="AE281"/>
  <c r="AE280"/>
  <c r="AE279"/>
  <c r="AE278"/>
  <c r="AE277"/>
  <c r="AE276"/>
  <c r="AE275"/>
  <c r="AE274"/>
  <c r="AE273"/>
  <c r="AE272"/>
  <c r="AE269"/>
  <c r="AE266"/>
  <c r="AE261" s="1"/>
  <c r="AE265"/>
  <c r="AE264"/>
  <c r="AE263"/>
  <c r="V262"/>
  <c r="AE259"/>
  <c r="AE257"/>
  <c r="AE254"/>
  <c r="AE253"/>
  <c r="AE252"/>
  <c r="AE251"/>
  <c r="AE250"/>
  <c r="AE249"/>
  <c r="AE248"/>
  <c r="AE247"/>
  <c r="AE246"/>
  <c r="AE245" s="1"/>
  <c r="T242"/>
  <c r="AE242" s="1"/>
  <c r="AE241" s="1"/>
  <c r="AE239"/>
  <c r="AE236"/>
  <c r="AE233"/>
  <c r="AE232"/>
  <c r="AE228"/>
  <c r="AE227"/>
  <c r="AE226"/>
  <c r="AE225"/>
  <c r="AE224"/>
  <c r="AE220"/>
  <c r="AE219"/>
  <c r="AE218"/>
  <c r="AE217"/>
  <c r="AE216"/>
  <c r="AE215"/>
  <c r="AE214"/>
  <c r="AE213"/>
  <c r="AE212"/>
  <c r="AE211"/>
  <c r="AE210"/>
  <c r="AE207"/>
  <c r="AE205"/>
  <c r="AE203"/>
  <c r="AE202"/>
  <c r="AE201"/>
  <c r="AE200"/>
  <c r="AE199"/>
  <c r="AE196"/>
  <c r="AE193"/>
  <c r="AE192"/>
  <c r="AE191"/>
  <c r="AE190"/>
  <c r="T186"/>
  <c r="AE186" s="1"/>
  <c r="T185"/>
  <c r="AE185" s="1"/>
  <c r="T184"/>
  <c r="AE184" s="1"/>
  <c r="T183"/>
  <c r="AE183" s="1"/>
  <c r="T182"/>
  <c r="AE182" s="1"/>
  <c r="AE179"/>
  <c r="AE177"/>
  <c r="AE174"/>
  <c r="AE172"/>
  <c r="V169"/>
  <c r="T169"/>
  <c r="AE169" s="1"/>
  <c r="V168"/>
  <c r="T168"/>
  <c r="AE168" s="1"/>
  <c r="V167"/>
  <c r="T167"/>
  <c r="AE167" s="1"/>
  <c r="V166"/>
  <c r="T166"/>
  <c r="AE166" s="1"/>
  <c r="AE165" s="1"/>
  <c r="T162"/>
  <c r="AE162" s="1"/>
  <c r="T161"/>
  <c r="AE161" s="1"/>
  <c r="T160"/>
  <c r="AE160" s="1"/>
  <c r="T159"/>
  <c r="AE159" s="1"/>
  <c r="T158"/>
  <c r="AE158" s="1"/>
  <c r="T157"/>
  <c r="AE157" s="1"/>
  <c r="T156"/>
  <c r="AE156" s="1"/>
  <c r="V155"/>
  <c r="T155"/>
  <c r="AE155" s="1"/>
  <c r="V154"/>
  <c r="T154"/>
  <c r="AE154" s="1"/>
  <c r="AE151"/>
  <c r="AE146"/>
  <c r="AE145"/>
  <c r="AE144" s="1"/>
  <c r="AE142"/>
  <c r="AE140"/>
  <c r="AE137"/>
  <c r="AE136"/>
  <c r="AE135"/>
  <c r="AE134"/>
  <c r="AE133"/>
  <c r="AE132"/>
  <c r="AE129"/>
  <c r="AE127"/>
  <c r="AE124"/>
  <c r="AE123" s="1"/>
  <c r="AE121"/>
  <c r="AE118"/>
  <c r="AE117"/>
  <c r="AE116"/>
  <c r="AE95"/>
  <c r="AE93"/>
  <c r="AE90"/>
  <c r="AE89"/>
  <c r="AE88" s="1"/>
  <c r="AE85"/>
  <c r="AE84"/>
  <c r="AE83"/>
  <c r="AE82"/>
  <c r="AE81"/>
  <c r="AE80"/>
  <c r="AE79"/>
  <c r="AE78"/>
  <c r="AE77"/>
  <c r="AE76"/>
  <c r="AE75"/>
  <c r="AE74" s="1"/>
  <c r="AE71"/>
  <c r="AE70"/>
  <c r="AE67"/>
  <c r="AE66"/>
  <c r="AE65"/>
  <c r="AE64"/>
  <c r="AE61"/>
  <c r="AE58"/>
  <c r="AE57"/>
  <c r="AE56"/>
  <c r="AE55"/>
  <c r="AE51"/>
  <c r="AE50"/>
  <c r="AE49"/>
  <c r="AE48" s="1"/>
  <c r="AE45"/>
  <c r="AE44"/>
  <c r="AE43"/>
  <c r="AE42"/>
  <c r="AE41"/>
  <c r="AE40"/>
  <c r="AE36"/>
  <c r="AE34"/>
  <c r="AE32"/>
  <c r="AE31"/>
  <c r="AE30"/>
  <c r="AE29"/>
  <c r="AE28" s="1"/>
  <c r="AE26"/>
  <c r="Z24"/>
  <c r="V23"/>
  <c r="Z23" s="1"/>
  <c r="T23"/>
  <c r="AE23" s="1"/>
  <c r="T22"/>
  <c r="AE22" s="1"/>
  <c r="T21"/>
  <c r="AE21" s="1"/>
  <c r="T20"/>
  <c r="AE20" s="1"/>
  <c r="AE17" s="1"/>
  <c r="T13"/>
  <c r="AE13" s="1"/>
  <c r="T12"/>
  <c r="AE12" s="1"/>
  <c r="T11"/>
  <c r="AE11" s="1"/>
  <c r="V10"/>
  <c r="T10"/>
  <c r="AE10" s="1"/>
  <c r="T9"/>
  <c r="AE9" s="1"/>
  <c r="V8"/>
  <c r="T8"/>
  <c r="AE8" s="1"/>
  <c r="AE4"/>
  <c r="AE3"/>
  <c r="B305" l="1"/>
  <c r="AE54"/>
  <c r="AE115"/>
  <c r="B96" s="1"/>
  <c r="AE131"/>
  <c r="B124" s="1"/>
  <c r="AE189"/>
  <c r="AE209"/>
  <c r="AE231"/>
  <c r="AE324"/>
  <c r="B64"/>
  <c r="V12"/>
  <c r="V21"/>
  <c r="Z21" s="1"/>
  <c r="V157"/>
  <c r="V185"/>
  <c r="AE38" i="7"/>
  <c r="B29" s="1"/>
  <c r="AE38" i="6"/>
  <c r="V161"/>
  <c r="V183"/>
  <c r="AE223"/>
  <c r="AE271"/>
  <c r="AE5" i="7"/>
  <c r="AE153"/>
  <c r="B151" s="1"/>
  <c r="V159" i="6"/>
  <c r="AE181" i="7"/>
  <c r="B177" s="1"/>
  <c r="AE17"/>
  <c r="B4" s="1"/>
  <c r="B2" s="1"/>
  <c r="B29" i="6"/>
  <c r="B262"/>
  <c r="AE5"/>
  <c r="B4" s="1"/>
  <c r="AE153"/>
  <c r="B151" s="1"/>
  <c r="AE181"/>
  <c r="B177" s="1"/>
  <c r="B199"/>
  <c r="B239"/>
  <c r="V9"/>
  <c r="V11"/>
  <c r="V13"/>
  <c r="V20"/>
  <c r="Z20" s="1"/>
  <c r="X21"/>
  <c r="V22"/>
  <c r="Z22" s="1"/>
  <c r="X23"/>
  <c r="V156"/>
  <c r="V158"/>
  <c r="V160"/>
  <c r="V162"/>
  <c r="V182"/>
  <c r="V184"/>
  <c r="V186"/>
  <c r="U242"/>
  <c r="X20"/>
  <c r="X22"/>
  <c r="B2" l="1"/>
  <c r="AE328" i="3" l="1"/>
  <c r="AE325"/>
  <c r="AE324"/>
  <c r="AE323" s="1"/>
  <c r="AE321"/>
  <c r="AE318"/>
  <c r="AE317"/>
  <c r="AE316"/>
  <c r="AE315"/>
  <c r="AE314"/>
  <c r="AE313"/>
  <c r="AE310"/>
  <c r="V306"/>
  <c r="T306"/>
  <c r="AE306" s="1"/>
  <c r="AE305" s="1"/>
  <c r="AE303"/>
  <c r="AE300"/>
  <c r="AE299"/>
  <c r="AE298"/>
  <c r="AE297"/>
  <c r="AE296" s="1"/>
  <c r="AE294"/>
  <c r="AE291"/>
  <c r="AE290"/>
  <c r="AE289"/>
  <c r="AE288" s="1"/>
  <c r="AE285"/>
  <c r="AE284"/>
  <c r="AE283"/>
  <c r="AE282"/>
  <c r="AE281"/>
  <c r="AE280"/>
  <c r="AE279"/>
  <c r="AE278"/>
  <c r="AE277"/>
  <c r="AE276"/>
  <c r="AE275"/>
  <c r="AE274"/>
  <c r="AE273"/>
  <c r="AE272"/>
  <c r="AE269"/>
  <c r="T266"/>
  <c r="AE266" s="1"/>
  <c r="T265"/>
  <c r="AE265" s="1"/>
  <c r="T264"/>
  <c r="AE264" s="1"/>
  <c r="V263"/>
  <c r="T263"/>
  <c r="AE263" s="1"/>
  <c r="V262"/>
  <c r="T262"/>
  <c r="AE262" s="1"/>
  <c r="AE259"/>
  <c r="AE257"/>
  <c r="AE254"/>
  <c r="AE253"/>
  <c r="AE252"/>
  <c r="AE251"/>
  <c r="AE250"/>
  <c r="AE249"/>
  <c r="AE248"/>
  <c r="AE247"/>
  <c r="AE246"/>
  <c r="T242"/>
  <c r="AE242" s="1"/>
  <c r="AE241" s="1"/>
  <c r="AE239"/>
  <c r="AE236"/>
  <c r="AE233"/>
  <c r="AE232"/>
  <c r="AE231" s="1"/>
  <c r="AE228"/>
  <c r="AE227"/>
  <c r="AE226"/>
  <c r="AE225"/>
  <c r="AE224"/>
  <c r="AE220"/>
  <c r="AE219"/>
  <c r="AE218"/>
  <c r="AE217"/>
  <c r="AE216"/>
  <c r="AE215"/>
  <c r="AE214"/>
  <c r="AE213"/>
  <c r="AE212"/>
  <c r="AE211"/>
  <c r="AE210"/>
  <c r="AE207"/>
  <c r="AE205"/>
  <c r="AE203"/>
  <c r="AE202"/>
  <c r="AE201"/>
  <c r="AE200"/>
  <c r="AE199" s="1"/>
  <c r="AE196"/>
  <c r="AE193"/>
  <c r="AE192"/>
  <c r="AE191"/>
  <c r="AE190"/>
  <c r="AE189" s="1"/>
  <c r="T186"/>
  <c r="AE186" s="1"/>
  <c r="V185"/>
  <c r="T185"/>
  <c r="AE185" s="1"/>
  <c r="T184"/>
  <c r="AE184" s="1"/>
  <c r="V183"/>
  <c r="T183"/>
  <c r="AE183" s="1"/>
  <c r="T182"/>
  <c r="AE182" s="1"/>
  <c r="AE179"/>
  <c r="AE177"/>
  <c r="AE174"/>
  <c r="AE172"/>
  <c r="V169"/>
  <c r="T169"/>
  <c r="AE169" s="1"/>
  <c r="V168"/>
  <c r="T168"/>
  <c r="AE168" s="1"/>
  <c r="V167"/>
  <c r="T167"/>
  <c r="AE167" s="1"/>
  <c r="V166"/>
  <c r="T166"/>
  <c r="AE166" s="1"/>
  <c r="T162"/>
  <c r="AE162" s="1"/>
  <c r="V161"/>
  <c r="T161"/>
  <c r="AE161" s="1"/>
  <c r="T160"/>
  <c r="AE160" s="1"/>
  <c r="V159"/>
  <c r="T159"/>
  <c r="AE159" s="1"/>
  <c r="T158"/>
  <c r="AE158" s="1"/>
  <c r="T157"/>
  <c r="AE157" s="1"/>
  <c r="T156"/>
  <c r="AE156" s="1"/>
  <c r="V155"/>
  <c r="T155"/>
  <c r="AE155" s="1"/>
  <c r="V154"/>
  <c r="T154"/>
  <c r="AE154" s="1"/>
  <c r="AE153" s="1"/>
  <c r="AE151"/>
  <c r="AE146"/>
  <c r="AE145"/>
  <c r="AE144"/>
  <c r="AE142"/>
  <c r="AE140"/>
  <c r="AE137"/>
  <c r="AE136"/>
  <c r="AE135"/>
  <c r="AE134"/>
  <c r="AE133"/>
  <c r="AE132"/>
  <c r="AE129"/>
  <c r="AE127"/>
  <c r="T124"/>
  <c r="AE124" s="1"/>
  <c r="AE123" s="1"/>
  <c r="AE121"/>
  <c r="AE118"/>
  <c r="AE117"/>
  <c r="AE116"/>
  <c r="AE115" s="1"/>
  <c r="AE112"/>
  <c r="AE111"/>
  <c r="AE110"/>
  <c r="AE106"/>
  <c r="AE105"/>
  <c r="AE104"/>
  <c r="AE103"/>
  <c r="AE102"/>
  <c r="AE101"/>
  <c r="AE100"/>
  <c r="AE99"/>
  <c r="AE95"/>
  <c r="AE93"/>
  <c r="AE90"/>
  <c r="AE89"/>
  <c r="AE88"/>
  <c r="AE85"/>
  <c r="AE84"/>
  <c r="AE83"/>
  <c r="AE82"/>
  <c r="AE81"/>
  <c r="AE80"/>
  <c r="AE79"/>
  <c r="AE78"/>
  <c r="AE77"/>
  <c r="AE75"/>
  <c r="AE71"/>
  <c r="AE70"/>
  <c r="AE67"/>
  <c r="AE66"/>
  <c r="AE65"/>
  <c r="AE61"/>
  <c r="AE58"/>
  <c r="AE57"/>
  <c r="AE56"/>
  <c r="AE55"/>
  <c r="AE54" s="1"/>
  <c r="AE51"/>
  <c r="AE50"/>
  <c r="AE49"/>
  <c r="AE48"/>
  <c r="AE45"/>
  <c r="AE44"/>
  <c r="AE43"/>
  <c r="AE42"/>
  <c r="AE41"/>
  <c r="AE40"/>
  <c r="AE36"/>
  <c r="AE34"/>
  <c r="AE32"/>
  <c r="AE31"/>
  <c r="AE30"/>
  <c r="AE29"/>
  <c r="AE26"/>
  <c r="Z24"/>
  <c r="T23"/>
  <c r="X23" s="1"/>
  <c r="V22"/>
  <c r="Z22" s="1"/>
  <c r="T22"/>
  <c r="AE22" s="1"/>
  <c r="T21"/>
  <c r="AE21" s="1"/>
  <c r="T20"/>
  <c r="AE20" s="1"/>
  <c r="AE13"/>
  <c r="AE12"/>
  <c r="AE11"/>
  <c r="AE9"/>
  <c r="AE8"/>
  <c r="AE4"/>
  <c r="AE3"/>
  <c r="AE328" i="1"/>
  <c r="AE325"/>
  <c r="AE324"/>
  <c r="AE323"/>
  <c r="AE321"/>
  <c r="T318"/>
  <c r="V318" s="1"/>
  <c r="V317"/>
  <c r="T317"/>
  <c r="AE317" s="1"/>
  <c r="T316"/>
  <c r="V316" s="1"/>
  <c r="T315"/>
  <c r="AE315" s="1"/>
  <c r="T314"/>
  <c r="V314" s="1"/>
  <c r="T313"/>
  <c r="AE313" s="1"/>
  <c r="AE310"/>
  <c r="V306"/>
  <c r="T306"/>
  <c r="AE306" s="1"/>
  <c r="AE305" s="1"/>
  <c r="AE205"/>
  <c r="AE34"/>
  <c r="V313" l="1"/>
  <c r="AE318"/>
  <c r="AE38" i="3"/>
  <c r="AE271"/>
  <c r="AE223"/>
  <c r="V266"/>
  <c r="V315" i="1"/>
  <c r="V20" i="3"/>
  <c r="Z20" s="1"/>
  <c r="AE28"/>
  <c r="AE64"/>
  <c r="V157"/>
  <c r="AE165"/>
  <c r="AE181"/>
  <c r="AE245"/>
  <c r="B239" s="1"/>
  <c r="V264"/>
  <c r="B177"/>
  <c r="AE312"/>
  <c r="B305" s="1"/>
  <c r="AE209"/>
  <c r="B199" s="1"/>
  <c r="AE109"/>
  <c r="AE17"/>
  <c r="B29"/>
  <c r="AE10"/>
  <c r="AE5" s="1"/>
  <c r="B4" s="1"/>
  <c r="X21"/>
  <c r="AE23"/>
  <c r="X20"/>
  <c r="V21"/>
  <c r="Z21" s="1"/>
  <c r="X22"/>
  <c r="V23"/>
  <c r="Z23" s="1"/>
  <c r="AE76"/>
  <c r="AE74" s="1"/>
  <c r="B64" s="1"/>
  <c r="AE98"/>
  <c r="AE131"/>
  <c r="B124" s="1"/>
  <c r="B151"/>
  <c r="AE261"/>
  <c r="B262" s="1"/>
  <c r="V124"/>
  <c r="V156"/>
  <c r="V158"/>
  <c r="V160"/>
  <c r="V162"/>
  <c r="V182"/>
  <c r="V184"/>
  <c r="V186"/>
  <c r="U242"/>
  <c r="V265"/>
  <c r="AE314" i="1"/>
  <c r="AE316"/>
  <c r="AE312" s="1"/>
  <c r="B305" s="1"/>
  <c r="AA254" i="2"/>
  <c r="AA255"/>
  <c r="AA253"/>
  <c r="AA233"/>
  <c r="AA234"/>
  <c r="AA235"/>
  <c r="AA236"/>
  <c r="AA237"/>
  <c r="AA232"/>
  <c r="AA219"/>
  <c r="AA220"/>
  <c r="AA221"/>
  <c r="AA222"/>
  <c r="AA223"/>
  <c r="AA224"/>
  <c r="AA225"/>
  <c r="AA226"/>
  <c r="AA227"/>
  <c r="AA228"/>
  <c r="AA218"/>
  <c r="AA213"/>
  <c r="AA214"/>
  <c r="AA212"/>
  <c r="AA182"/>
  <c r="AA181"/>
  <c r="AA180"/>
  <c r="AA179"/>
  <c r="AA178"/>
  <c r="AA177"/>
  <c r="AA176"/>
  <c r="AA175"/>
  <c r="AA174"/>
  <c r="AA173"/>
  <c r="AA164"/>
  <c r="AA165"/>
  <c r="AA166"/>
  <c r="AA167"/>
  <c r="AA168"/>
  <c r="AA169"/>
  <c r="AA163"/>
  <c r="AA152"/>
  <c r="AA153"/>
  <c r="AA154"/>
  <c r="AA151"/>
  <c r="AA150" s="1"/>
  <c r="AA140"/>
  <c r="AA141"/>
  <c r="AA142"/>
  <c r="AA143"/>
  <c r="AA144"/>
  <c r="AA145"/>
  <c r="AA146"/>
  <c r="AA147"/>
  <c r="AA139"/>
  <c r="AA122"/>
  <c r="AA123"/>
  <c r="AA124"/>
  <c r="AA125"/>
  <c r="AA126"/>
  <c r="AA127"/>
  <c r="AA128"/>
  <c r="AA129"/>
  <c r="AA130"/>
  <c r="AA131"/>
  <c r="AA132"/>
  <c r="AA133"/>
  <c r="AA134"/>
  <c r="AA135"/>
  <c r="AA121"/>
  <c r="AA120"/>
  <c r="AA119"/>
  <c r="AA118"/>
  <c r="AA117"/>
  <c r="AA110"/>
  <c r="AA111"/>
  <c r="AA112"/>
  <c r="AA113"/>
  <c r="AA109"/>
  <c r="AA81"/>
  <c r="AA82"/>
  <c r="AA83"/>
  <c r="AA84"/>
  <c r="AA85"/>
  <c r="AA86"/>
  <c r="AA87"/>
  <c r="AA80"/>
  <c r="AA66"/>
  <c r="AA67"/>
  <c r="AA68"/>
  <c r="AA69"/>
  <c r="AA70"/>
  <c r="AA71"/>
  <c r="AA72"/>
  <c r="AA73"/>
  <c r="AA74"/>
  <c r="AA75"/>
  <c r="AA76"/>
  <c r="AA77"/>
  <c r="AA65"/>
  <c r="AA60"/>
  <c r="AA61"/>
  <c r="AA59"/>
  <c r="AA260"/>
  <c r="AA258"/>
  <c r="V249"/>
  <c r="X249" s="1"/>
  <c r="V248"/>
  <c r="X248" s="1"/>
  <c r="V247"/>
  <c r="X247" s="1"/>
  <c r="V246"/>
  <c r="X246" s="1"/>
  <c r="V245"/>
  <c r="X245" s="1"/>
  <c r="X244"/>
  <c r="V244"/>
  <c r="AA244" s="1"/>
  <c r="X243"/>
  <c r="V243"/>
  <c r="AA243" s="1"/>
  <c r="V242"/>
  <c r="X242" s="1"/>
  <c r="X241"/>
  <c r="V241"/>
  <c r="AA241" s="1"/>
  <c r="AA208"/>
  <c r="AA206"/>
  <c r="V203"/>
  <c r="X203" s="1"/>
  <c r="X202"/>
  <c r="V202"/>
  <c r="AA202" s="1"/>
  <c r="V201"/>
  <c r="AA201" s="1"/>
  <c r="X197"/>
  <c r="V197"/>
  <c r="AA197" s="1"/>
  <c r="X196"/>
  <c r="V196"/>
  <c r="AA196" s="1"/>
  <c r="X195"/>
  <c r="V195"/>
  <c r="AA195" s="1"/>
  <c r="X194"/>
  <c r="V194"/>
  <c r="AA194" s="1"/>
  <c r="V190"/>
  <c r="X190" s="1"/>
  <c r="V189"/>
  <c r="X189" s="1"/>
  <c r="V188"/>
  <c r="X188" s="1"/>
  <c r="V187"/>
  <c r="X187" s="1"/>
  <c r="X186"/>
  <c r="V186"/>
  <c r="AA186" s="1"/>
  <c r="AA159"/>
  <c r="AA157"/>
  <c r="AA105"/>
  <c r="AA103"/>
  <c r="V100"/>
  <c r="X100" s="1"/>
  <c r="V99"/>
  <c r="X99" s="1"/>
  <c r="V98"/>
  <c r="X98" s="1"/>
  <c r="X94"/>
  <c r="V94"/>
  <c r="AA94" s="1"/>
  <c r="X93"/>
  <c r="V93"/>
  <c r="AA93" s="1"/>
  <c r="X92"/>
  <c r="V92"/>
  <c r="AA92" s="1"/>
  <c r="X91"/>
  <c r="V91"/>
  <c r="AA91" s="1"/>
  <c r="AA56"/>
  <c r="AA54"/>
  <c r="AA51"/>
  <c r="AA50"/>
  <c r="AA49"/>
  <c r="AA48" s="1"/>
  <c r="AA26"/>
  <c r="AA25"/>
  <c r="AA24"/>
  <c r="AA23"/>
  <c r="AA22"/>
  <c r="AA21"/>
  <c r="AA20"/>
  <c r="AA19"/>
  <c r="AA18"/>
  <c r="AA17"/>
  <c r="AA13"/>
  <c r="AA12"/>
  <c r="AA7"/>
  <c r="AA6"/>
  <c r="AA5"/>
  <c r="AA37"/>
  <c r="AA43"/>
  <c r="AA42" s="1"/>
  <c r="AA45"/>
  <c r="AA44"/>
  <c r="V39"/>
  <c r="X39" s="1"/>
  <c r="V38"/>
  <c r="X38" s="1"/>
  <c r="V37"/>
  <c r="X37" s="1"/>
  <c r="V36"/>
  <c r="X36" s="1"/>
  <c r="V35"/>
  <c r="X35" s="1"/>
  <c r="V34"/>
  <c r="X34" s="1"/>
  <c r="V33"/>
  <c r="X33" s="1"/>
  <c r="X32"/>
  <c r="V32"/>
  <c r="AA32" s="1"/>
  <c r="X31"/>
  <c r="V31"/>
  <c r="AA31" s="1"/>
  <c r="V16"/>
  <c r="X16" s="1"/>
  <c r="V15"/>
  <c r="X15" s="1"/>
  <c r="V14"/>
  <c r="X14" s="1"/>
  <c r="X13"/>
  <c r="V13"/>
  <c r="V8"/>
  <c r="X8" s="1"/>
  <c r="AE303" i="1"/>
  <c r="AE300"/>
  <c r="AE299"/>
  <c r="AE298"/>
  <c r="AE297"/>
  <c r="AE296" s="1"/>
  <c r="AE294"/>
  <c r="AE291"/>
  <c r="AE290"/>
  <c r="AE289"/>
  <c r="AE273"/>
  <c r="AE274"/>
  <c r="AE275"/>
  <c r="AE276"/>
  <c r="AE277"/>
  <c r="AE278"/>
  <c r="AE279"/>
  <c r="AE280"/>
  <c r="AE281"/>
  <c r="AE282"/>
  <c r="AE283"/>
  <c r="AE284"/>
  <c r="AE285"/>
  <c r="AE272"/>
  <c r="AE269"/>
  <c r="AE265"/>
  <c r="AE266"/>
  <c r="T266"/>
  <c r="V266" s="1"/>
  <c r="T265"/>
  <c r="V265" s="1"/>
  <c r="T264"/>
  <c r="V264" s="1"/>
  <c r="V263"/>
  <c r="T263"/>
  <c r="AE263" s="1"/>
  <c r="V262"/>
  <c r="T262"/>
  <c r="AE262" s="1"/>
  <c r="AE259"/>
  <c r="AE257"/>
  <c r="AE248"/>
  <c r="AE252"/>
  <c r="T254"/>
  <c r="V254" s="1"/>
  <c r="T253"/>
  <c r="V253" s="1"/>
  <c r="T252"/>
  <c r="V252" s="1"/>
  <c r="T251"/>
  <c r="V251" s="1"/>
  <c r="T250"/>
  <c r="V250" s="1"/>
  <c r="T249"/>
  <c r="V249" s="1"/>
  <c r="T248"/>
  <c r="V248" s="1"/>
  <c r="T247"/>
  <c r="V247" s="1"/>
  <c r="T246"/>
  <c r="V246" s="1"/>
  <c r="AE242"/>
  <c r="AE241" s="1"/>
  <c r="T242"/>
  <c r="U242" s="1"/>
  <c r="AE254" l="1"/>
  <c r="AE250"/>
  <c r="AA39" i="2"/>
  <c r="AA35"/>
  <c r="AA16"/>
  <c r="AA100"/>
  <c r="AA189"/>
  <c r="AA203"/>
  <c r="AA247"/>
  <c r="AE253" i="1"/>
  <c r="AE249"/>
  <c r="AA38" i="2"/>
  <c r="AA34"/>
  <c r="AA99"/>
  <c r="AA190"/>
  <c r="AA246"/>
  <c r="AA242"/>
  <c r="AA33"/>
  <c r="AA14"/>
  <c r="X201"/>
  <c r="AA187"/>
  <c r="AA249"/>
  <c r="AA245"/>
  <c r="AE246" i="1"/>
  <c r="AE251"/>
  <c r="AE247"/>
  <c r="AE264"/>
  <c r="AA36" i="2"/>
  <c r="AA8"/>
  <c r="AA15"/>
  <c r="AA58"/>
  <c r="AA98"/>
  <c r="AA97" s="1"/>
  <c r="AA188"/>
  <c r="AA248"/>
  <c r="B96" i="3"/>
  <c r="B2" s="1"/>
  <c r="AE288" i="1"/>
  <c r="AA252" i="2"/>
  <c r="AA200"/>
  <c r="AA193"/>
  <c r="AA185"/>
  <c r="AA30"/>
  <c r="AA240"/>
  <c r="AA231"/>
  <c r="AA217"/>
  <c r="AA211"/>
  <c r="AA172"/>
  <c r="AA162"/>
  <c r="AA138"/>
  <c r="AA116"/>
  <c r="AA108"/>
  <c r="AA90"/>
  <c r="AA79"/>
  <c r="AA64"/>
  <c r="AA11"/>
  <c r="AA4"/>
  <c r="AE271" i="1"/>
  <c r="AE261"/>
  <c r="AE245"/>
  <c r="B262" l="1"/>
  <c r="B212" i="2"/>
  <c r="B163"/>
  <c r="B109"/>
  <c r="B59"/>
  <c r="B5"/>
  <c r="AE239" i="1"/>
  <c r="B239" s="1"/>
  <c r="AE236"/>
  <c r="AE233"/>
  <c r="AE232"/>
  <c r="AE231" s="1"/>
  <c r="AE225"/>
  <c r="AE226"/>
  <c r="AE227"/>
  <c r="AE228"/>
  <c r="AE224"/>
  <c r="AE211"/>
  <c r="AE212"/>
  <c r="AE213"/>
  <c r="AE214"/>
  <c r="AE215"/>
  <c r="AE216"/>
  <c r="AE217"/>
  <c r="AE218"/>
  <c r="AE219"/>
  <c r="AE220"/>
  <c r="AE210"/>
  <c r="AE207"/>
  <c r="AE203"/>
  <c r="AE202"/>
  <c r="AE201"/>
  <c r="AE200"/>
  <c r="AE196"/>
  <c r="AE193"/>
  <c r="AE192"/>
  <c r="AE191"/>
  <c r="AE190"/>
  <c r="AE189" s="1"/>
  <c r="AE186"/>
  <c r="AE182"/>
  <c r="T186"/>
  <c r="V186" s="1"/>
  <c r="T185"/>
  <c r="V185" s="1"/>
  <c r="T184"/>
  <c r="V184" s="1"/>
  <c r="T183"/>
  <c r="V183" s="1"/>
  <c r="T182"/>
  <c r="V182" s="1"/>
  <c r="AE4"/>
  <c r="AE179"/>
  <c r="AE177"/>
  <c r="AE174"/>
  <c r="AE172"/>
  <c r="V169"/>
  <c r="T169"/>
  <c r="AE169" s="1"/>
  <c r="V168"/>
  <c r="T168"/>
  <c r="AE168" s="1"/>
  <c r="V167"/>
  <c r="T167"/>
  <c r="AE167" s="1"/>
  <c r="V166"/>
  <c r="T166"/>
  <c r="AE166" s="1"/>
  <c r="AE160"/>
  <c r="AE162"/>
  <c r="V162"/>
  <c r="T162"/>
  <c r="V161"/>
  <c r="T161"/>
  <c r="AE161" s="1"/>
  <c r="V160"/>
  <c r="T160"/>
  <c r="V159"/>
  <c r="T159"/>
  <c r="AE159" s="1"/>
  <c r="V158"/>
  <c r="T158"/>
  <c r="AE158" s="1"/>
  <c r="V157"/>
  <c r="T157"/>
  <c r="AE157" s="1"/>
  <c r="V156"/>
  <c r="T156"/>
  <c r="AE156" s="1"/>
  <c r="V155"/>
  <c r="T155"/>
  <c r="AE155" s="1"/>
  <c r="V154"/>
  <c r="T154"/>
  <c r="AE154" s="1"/>
  <c r="AE151"/>
  <c r="AE146"/>
  <c r="AE145"/>
  <c r="AE183" l="1"/>
  <c r="AE185"/>
  <c r="AE184"/>
  <c r="AE209"/>
  <c r="B199" s="1"/>
  <c r="AE199"/>
  <c r="B2" i="2"/>
  <c r="AE223" i="1"/>
  <c r="AE181"/>
  <c r="B177" s="1"/>
  <c r="AE165"/>
  <c r="AE153"/>
  <c r="AE144"/>
  <c r="B151" l="1"/>
  <c r="AE142"/>
  <c r="AE140"/>
  <c r="AE129"/>
  <c r="AE127"/>
  <c r="AE117"/>
  <c r="AE118"/>
  <c r="AE116"/>
  <c r="AE115" s="1"/>
  <c r="AE111"/>
  <c r="AE112"/>
  <c r="AE110"/>
  <c r="AE95"/>
  <c r="AE93"/>
  <c r="AE90"/>
  <c r="AE89"/>
  <c r="AE71"/>
  <c r="AE70" s="1"/>
  <c r="AE66"/>
  <c r="AE67"/>
  <c r="AE65"/>
  <c r="T137"/>
  <c r="V137" s="1"/>
  <c r="T136"/>
  <c r="V136" s="1"/>
  <c r="T135"/>
  <c r="V135" s="1"/>
  <c r="T134"/>
  <c r="V134" s="1"/>
  <c r="T133"/>
  <c r="V133" s="1"/>
  <c r="T132"/>
  <c r="V132" s="1"/>
  <c r="AE36"/>
  <c r="T124"/>
  <c r="V124" s="1"/>
  <c r="AE121"/>
  <c r="T106"/>
  <c r="V106" s="1"/>
  <c r="V105"/>
  <c r="T105"/>
  <c r="AE105" s="1"/>
  <c r="V104"/>
  <c r="T104"/>
  <c r="AE104" s="1"/>
  <c r="V103"/>
  <c r="T103"/>
  <c r="AE103" s="1"/>
  <c r="V102"/>
  <c r="T102"/>
  <c r="AE102" s="1"/>
  <c r="T101"/>
  <c r="T100"/>
  <c r="V100" s="1"/>
  <c r="V99"/>
  <c r="T99"/>
  <c r="AE99" s="1"/>
  <c r="T85"/>
  <c r="V85" s="1"/>
  <c r="T84"/>
  <c r="V84" s="1"/>
  <c r="T83"/>
  <c r="V83" s="1"/>
  <c r="T82"/>
  <c r="V82" s="1"/>
  <c r="T81"/>
  <c r="V81" s="1"/>
  <c r="T80"/>
  <c r="V80" s="1"/>
  <c r="T79"/>
  <c r="V79" s="1"/>
  <c r="T78"/>
  <c r="T77"/>
  <c r="T76"/>
  <c r="V76" s="1"/>
  <c r="T75"/>
  <c r="V75" s="1"/>
  <c r="AE61"/>
  <c r="AE56"/>
  <c r="AE57"/>
  <c r="AE58"/>
  <c r="AE55"/>
  <c r="AE50"/>
  <c r="AE51"/>
  <c r="AE49"/>
  <c r="AE48" s="1"/>
  <c r="AE41"/>
  <c r="AE42"/>
  <c r="AE43"/>
  <c r="AE44"/>
  <c r="AE45"/>
  <c r="AE40"/>
  <c r="AE30"/>
  <c r="AE31"/>
  <c r="AE32"/>
  <c r="AE29"/>
  <c r="AE26"/>
  <c r="V77" l="1"/>
  <c r="AE77"/>
  <c r="V101"/>
  <c r="AE101"/>
  <c r="AE85"/>
  <c r="AE81"/>
  <c r="AE124"/>
  <c r="AE123" s="1"/>
  <c r="AE137"/>
  <c r="AE133"/>
  <c r="V78"/>
  <c r="AE78"/>
  <c r="AE84"/>
  <c r="AE80"/>
  <c r="AE106"/>
  <c r="AE100"/>
  <c r="AE98" s="1"/>
  <c r="AE136"/>
  <c r="AE83"/>
  <c r="AE79"/>
  <c r="AE135"/>
  <c r="AE75"/>
  <c r="AE74" s="1"/>
  <c r="AE82"/>
  <c r="AE76"/>
  <c r="AE132"/>
  <c r="AE134"/>
  <c r="AE38"/>
  <c r="AE28"/>
  <c r="AE131"/>
  <c r="AE88"/>
  <c r="AE109"/>
  <c r="AE64"/>
  <c r="AE54"/>
  <c r="B124" l="1"/>
  <c r="B29"/>
  <c r="B96"/>
  <c r="B64"/>
  <c r="Z24"/>
  <c r="T23"/>
  <c r="V23" s="1"/>
  <c r="Z23" s="1"/>
  <c r="T22"/>
  <c r="V22" s="1"/>
  <c r="Z22" s="1"/>
  <c r="T21"/>
  <c r="V21" s="1"/>
  <c r="Z21" s="1"/>
  <c r="T20"/>
  <c r="V20" s="1"/>
  <c r="Z20" s="1"/>
  <c r="AE23" l="1"/>
  <c r="AE22"/>
  <c r="AE21"/>
  <c r="AE20"/>
  <c r="X20"/>
  <c r="X21"/>
  <c r="X22"/>
  <c r="X23"/>
  <c r="AE17" l="1"/>
  <c r="AE3" l="1"/>
  <c r="T13"/>
  <c r="AE13" s="1"/>
  <c r="T12"/>
  <c r="AE12" s="1"/>
  <c r="T11"/>
  <c r="AE11" s="1"/>
  <c r="T10"/>
  <c r="AE10" s="1"/>
  <c r="T9"/>
  <c r="AE9" s="1"/>
  <c r="T8"/>
  <c r="AE8" s="1"/>
  <c r="AE5" s="1"/>
  <c r="B4" s="1"/>
  <c r="B2" s="1"/>
  <c r="V9" l="1"/>
  <c r="V11"/>
  <c r="V13"/>
  <c r="V8"/>
  <c r="V10"/>
  <c r="V12"/>
</calcChain>
</file>

<file path=xl/sharedStrings.xml><?xml version="1.0" encoding="utf-8"?>
<sst xmlns="http://schemas.openxmlformats.org/spreadsheetml/2006/main" count="3477" uniqueCount="418">
  <si>
    <t>1 день</t>
  </si>
  <si>
    <t>завтрак</t>
  </si>
  <si>
    <t>яблоко</t>
  </si>
  <si>
    <t>сумма</t>
  </si>
  <si>
    <t>сыр твердый</t>
  </si>
  <si>
    <t>каша геркулесовая</t>
  </si>
  <si>
    <t>выход порции</t>
  </si>
  <si>
    <t>масло сливочное</t>
  </si>
  <si>
    <t>какао с молоком</t>
  </si>
  <si>
    <t>Наименование сырья</t>
  </si>
  <si>
    <t>Расход сырья и полуфабрикатов</t>
  </si>
  <si>
    <t>Брутто, г</t>
  </si>
  <si>
    <t>Нетто, г</t>
  </si>
  <si>
    <t>Брутто, кг</t>
  </si>
  <si>
    <t>Нетто, кг</t>
  </si>
  <si>
    <t>Крупа овсяная "Геркулес"</t>
  </si>
  <si>
    <t>Молоко</t>
  </si>
  <si>
    <t>Вода</t>
  </si>
  <si>
    <t>Масло сливочное</t>
  </si>
  <si>
    <t>Соль йодированная</t>
  </si>
  <si>
    <t>Сахар</t>
  </si>
  <si>
    <t>Выход готового блюда</t>
  </si>
  <si>
    <t>-</t>
  </si>
  <si>
    <t>цена за кг</t>
  </si>
  <si>
    <t>Какао-порошок</t>
  </si>
  <si>
    <t>Сахар-песок</t>
  </si>
  <si>
    <t>хлеб пшеничный</t>
  </si>
  <si>
    <t>2 день</t>
  </si>
  <si>
    <t>морковь тертая</t>
  </si>
  <si>
    <t>,</t>
  </si>
  <si>
    <t>огурец</t>
  </si>
  <si>
    <t>Морковь свежая</t>
  </si>
  <si>
    <t>Масло растительное</t>
  </si>
  <si>
    <t>Котлета "Говяжья Школьная" запеченная</t>
  </si>
  <si>
    <t>Говядина ГОСТ 54754</t>
  </si>
  <si>
    <t>Хлеб пшеничный</t>
  </si>
  <si>
    <t>Сухари</t>
  </si>
  <si>
    <t>Рис отварной с маслом сливочным</t>
  </si>
  <si>
    <t>Крупа рисовая</t>
  </si>
  <si>
    <t xml:space="preserve">Кофейный напиток на молоке </t>
  </si>
  <si>
    <t>Кофейный напиток растворимый</t>
  </si>
  <si>
    <t xml:space="preserve">Молоко </t>
  </si>
  <si>
    <t>средняя стоимость</t>
  </si>
  <si>
    <t>3 день</t>
  </si>
  <si>
    <t>Салат из моркови с яблоками.</t>
  </si>
  <si>
    <t>Морковь</t>
  </si>
  <si>
    <t>Яблоки свежие</t>
  </si>
  <si>
    <t>Джем фруктовый с кусочками фруктов</t>
  </si>
  <si>
    <t>Джем</t>
  </si>
  <si>
    <t>Пудинг творожно-пшенный с сахарной пудрой</t>
  </si>
  <si>
    <t>Творог 5%</t>
  </si>
  <si>
    <t>Крупа пшено</t>
  </si>
  <si>
    <t>Яйцо С-1 (столовое)</t>
  </si>
  <si>
    <t>Ванилин</t>
  </si>
  <si>
    <t>Сметана</t>
  </si>
  <si>
    <t>Сухари панировочные</t>
  </si>
  <si>
    <t>Сахарная пудра</t>
  </si>
  <si>
    <t>Чай с сахаром</t>
  </si>
  <si>
    <t>Чай</t>
  </si>
  <si>
    <t>батон пшеничный</t>
  </si>
  <si>
    <t>4 день</t>
  </si>
  <si>
    <t>груша</t>
  </si>
  <si>
    <t>Крокеты Детские запеченные</t>
  </si>
  <si>
    <t>Говядина по ГОСТ Р 54754</t>
  </si>
  <si>
    <t>Яйцо куриное</t>
  </si>
  <si>
    <t xml:space="preserve">Морковь </t>
  </si>
  <si>
    <t>Лук репчатый</t>
  </si>
  <si>
    <t xml:space="preserve">Масло растительное </t>
  </si>
  <si>
    <t>Макароны отварные с маслом сливочным</t>
  </si>
  <si>
    <t>Макаронные изделия</t>
  </si>
  <si>
    <t>Чай с лимоном</t>
  </si>
  <si>
    <t>Лимон</t>
  </si>
  <si>
    <t>200/4</t>
  </si>
  <si>
    <t>5 день</t>
  </si>
  <si>
    <t>Зеленый горошек отварной</t>
  </si>
  <si>
    <t>Зеленый горошек</t>
  </si>
  <si>
    <t>помидор</t>
  </si>
  <si>
    <t>Помидоры</t>
  </si>
  <si>
    <t>Сыр твердо-мягкий с м.д.ж. 45%</t>
  </si>
  <si>
    <t>сыр</t>
  </si>
  <si>
    <t>Омлет натуральный с маслом</t>
  </si>
  <si>
    <t>Яблоко свежее</t>
  </si>
  <si>
    <t>Яблоки</t>
  </si>
  <si>
    <t>6 день</t>
  </si>
  <si>
    <t>банан</t>
  </si>
  <si>
    <t>Банан</t>
  </si>
  <si>
    <t>Палочки мясные Детские запеченные</t>
  </si>
  <si>
    <t>Мясо котлетное свиное по ГОСТ Р 54754</t>
  </si>
  <si>
    <t xml:space="preserve">Хлеб пшеничный </t>
  </si>
  <si>
    <t xml:space="preserve">Лук репчатый </t>
  </si>
  <si>
    <t>Картофельное пюре с маслом сливочным</t>
  </si>
  <si>
    <t>Картофель свежий</t>
  </si>
  <si>
    <t>Сок</t>
  </si>
  <si>
    <t xml:space="preserve">Сок или нектар или морс или напиток сокосодержащий </t>
  </si>
  <si>
    <t>7 день</t>
  </si>
  <si>
    <t>Апельсин свежий</t>
  </si>
  <si>
    <t>Апельсин</t>
  </si>
  <si>
    <t>Сыр твердо-мягкий порционно</t>
  </si>
  <si>
    <t>Каша гречневая молочная с маслом</t>
  </si>
  <si>
    <t>Крупа гречневая</t>
  </si>
  <si>
    <t>8 день</t>
  </si>
  <si>
    <t>Фрикадельки под соусом молочным</t>
  </si>
  <si>
    <t>Яйца</t>
  </si>
  <si>
    <t>Приготовление соуса</t>
  </si>
  <si>
    <t>Мука пшеничная</t>
  </si>
  <si>
    <t>Лавровый лист</t>
  </si>
  <si>
    <t>Каша "Дружба" с маслом сливочным</t>
  </si>
  <si>
    <t xml:space="preserve">9 день </t>
  </si>
  <si>
    <t>Молоко сгущенное порционно</t>
  </si>
  <si>
    <t>Молоко сгущенное с сахаром 8,5% жирности</t>
  </si>
  <si>
    <t>Запеканка творожно-рисовая с маслом сливочным</t>
  </si>
  <si>
    <t>10 день</t>
  </si>
  <si>
    <t>Фасоль красная отварная</t>
  </si>
  <si>
    <t>Фасоль красная</t>
  </si>
  <si>
    <t>Томатная паста</t>
  </si>
  <si>
    <t>Тефтели "Детские" с соусом</t>
  </si>
  <si>
    <t>80/20</t>
  </si>
  <si>
    <t>*Вода</t>
  </si>
  <si>
    <t>Приготовление соуса: 333</t>
  </si>
  <si>
    <t>Томатное пюре</t>
  </si>
  <si>
    <t>обед</t>
  </si>
  <si>
    <t>Салат из белокачанной капусты с морковью</t>
  </si>
  <si>
    <t>Капуста</t>
  </si>
  <si>
    <t xml:space="preserve">Морковь свежая </t>
  </si>
  <si>
    <t xml:space="preserve">Суп картофельный с горохом и фрикаделькой "Детской" из мяса птицы </t>
  </si>
  <si>
    <t>200/10</t>
  </si>
  <si>
    <r>
      <rPr>
        <b/>
        <sz val="8"/>
        <rFont val="Arial"/>
        <family val="2"/>
        <charset val="204"/>
      </rPr>
      <t>Фрикадельки</t>
    </r>
    <r>
      <rPr>
        <sz val="11"/>
        <color theme="1"/>
        <rFont val="Calibri"/>
        <family val="2"/>
        <scheme val="minor"/>
      </rPr>
      <t xml:space="preserve"> "Детские" из мяса птицы (пром. производства или приготовленная в соответствии с  </t>
    </r>
    <r>
      <rPr>
        <b/>
        <sz val="8"/>
        <rFont val="Arial"/>
        <family val="2"/>
        <charset val="204"/>
      </rPr>
      <t>ГОСТ 55790-2013</t>
    </r>
    <r>
      <rPr>
        <sz val="11"/>
        <color theme="1"/>
        <rFont val="Calibri"/>
        <family val="2"/>
        <scheme val="minor"/>
      </rPr>
      <t>)</t>
    </r>
  </si>
  <si>
    <t>ЦБ</t>
  </si>
  <si>
    <t>Суп:</t>
  </si>
  <si>
    <t>Картофель</t>
  </si>
  <si>
    <t>Горох</t>
  </si>
  <si>
    <t>Лук зеленый (перо)</t>
  </si>
  <si>
    <t>Бульон</t>
  </si>
  <si>
    <t>наименование блюд</t>
  </si>
  <si>
    <t>наименование продуктов</t>
  </si>
  <si>
    <t>Хлеб ржано-пшеничный</t>
  </si>
  <si>
    <t>Салат из свеклы с маслом растительным</t>
  </si>
  <si>
    <t>Свекла</t>
  </si>
  <si>
    <t>Бульон или вода</t>
  </si>
  <si>
    <t>Зелень сухая</t>
  </si>
  <si>
    <t>суп овощной Летний</t>
  </si>
  <si>
    <t>грудка ц/б</t>
  </si>
  <si>
    <t>фасоль красная</t>
  </si>
  <si>
    <t>перец  болгарский</t>
  </si>
  <si>
    <t>помидоры</t>
  </si>
  <si>
    <t>масло растительное</t>
  </si>
  <si>
    <t>соль</t>
  </si>
  <si>
    <t>зелень</t>
  </si>
  <si>
    <t>лавровый лист</t>
  </si>
  <si>
    <t>бульон</t>
  </si>
  <si>
    <t>Рыба запеченная с овощами и сыром</t>
  </si>
  <si>
    <t>Филе рыбы</t>
  </si>
  <si>
    <t>Сыр твердо-мягкий</t>
  </si>
  <si>
    <t>Компот из смеси сухофруктов С-витаминизированный</t>
  </si>
  <si>
    <t>Сухофрукты</t>
  </si>
  <si>
    <t>Салат из капусты с огурцом</t>
  </si>
  <si>
    <t>Капуста свежая</t>
  </si>
  <si>
    <t xml:space="preserve">Огурец </t>
  </si>
  <si>
    <t>Борщ со свежей капустой и картофелем с фрикаделькой из мяса "Детской"</t>
  </si>
  <si>
    <r>
      <t xml:space="preserve">Фрикадельки "Детские" (пром. производ. или приготовлены в соотвествии с </t>
    </r>
    <r>
      <rPr>
        <sz val="8"/>
        <rFont val="Arial"/>
        <family val="2"/>
        <charset val="204"/>
      </rPr>
      <t>ГОСТ 55366-2012)</t>
    </r>
    <r>
      <rPr>
        <b/>
        <sz val="8"/>
        <rFont val="Arial"/>
        <family val="2"/>
        <charset val="204"/>
      </rPr>
      <t xml:space="preserve"> :</t>
    </r>
  </si>
  <si>
    <t>Борщ:</t>
  </si>
  <si>
    <t>Плов из птицы</t>
  </si>
  <si>
    <r>
      <t>Грудка ЦБ (охл)</t>
    </r>
    <r>
      <rPr>
        <b/>
        <sz val="8"/>
        <rFont val="Arial"/>
        <family val="2"/>
        <charset val="204"/>
      </rPr>
      <t xml:space="preserve"> ГОСТ 32737-2014</t>
    </r>
  </si>
  <si>
    <t>Томатная пста</t>
  </si>
  <si>
    <t>Компот из яблок и лимона</t>
  </si>
  <si>
    <t>Лимоны</t>
  </si>
  <si>
    <t xml:space="preserve">Салат "Молодость" </t>
  </si>
  <si>
    <t>Зеленый лук</t>
  </si>
  <si>
    <t>Масло Растительное</t>
  </si>
  <si>
    <t>Укроп</t>
  </si>
  <si>
    <t>Лимонная кислота</t>
  </si>
  <si>
    <t>Рассольник ленинградский с крупой перловой на мясном бульоне.</t>
  </si>
  <si>
    <t>Бульон мясной</t>
  </si>
  <si>
    <t>Огурцы консервированные</t>
  </si>
  <si>
    <t>Крупа перловая</t>
  </si>
  <si>
    <t>Бифштекс рубленный  (в соответствии с ГОСТ Р 55366-2012)</t>
  </si>
  <si>
    <r>
      <t xml:space="preserve">Говядина </t>
    </r>
    <r>
      <rPr>
        <b/>
        <sz val="8"/>
        <rFont val="Arial"/>
        <family val="2"/>
        <charset val="204"/>
      </rPr>
      <t>ГОСТ 54754</t>
    </r>
  </si>
  <si>
    <r>
      <t xml:space="preserve">Грудка ЦБ </t>
    </r>
    <r>
      <rPr>
        <b/>
        <sz val="8"/>
        <rFont val="Arial"/>
        <family val="2"/>
        <charset val="204"/>
      </rPr>
      <t>ГОСТ 32737</t>
    </r>
  </si>
  <si>
    <t>Суп картофельный с рыбными фрикадельками</t>
  </si>
  <si>
    <t>200/30</t>
  </si>
  <si>
    <t>Фрикаделька рыбная</t>
  </si>
  <si>
    <t>Котлета "Куриная" рубленная из цыплят бройлеров</t>
  </si>
  <si>
    <t>Грудка ЦБ</t>
  </si>
  <si>
    <t>Капуста тушеная</t>
  </si>
  <si>
    <t>Капуста белокачанная свежая</t>
  </si>
  <si>
    <t>Лимонная кислота (р-р 3%)</t>
  </si>
  <si>
    <t xml:space="preserve">Напиток  фруктовый из свежих яблок и ягод </t>
  </si>
  <si>
    <t>Ягоды свежезамороженные</t>
  </si>
  <si>
    <t xml:space="preserve">обед </t>
  </si>
  <si>
    <t>яйцо</t>
  </si>
  <si>
    <t>11 день</t>
  </si>
  <si>
    <t>Говядина Гост 54754</t>
  </si>
  <si>
    <t xml:space="preserve">икра кабачковая </t>
  </si>
  <si>
    <t>икра кабачковая</t>
  </si>
  <si>
    <t xml:space="preserve">икра </t>
  </si>
  <si>
    <t>повидло</t>
  </si>
  <si>
    <t>7день</t>
  </si>
  <si>
    <t xml:space="preserve">8 день </t>
  </si>
  <si>
    <t>9 день</t>
  </si>
  <si>
    <t>вт</t>
  </si>
  <si>
    <t>пн</t>
  </si>
  <si>
    <t>ср</t>
  </si>
  <si>
    <t>чт</t>
  </si>
  <si>
    <t>пт</t>
  </si>
  <si>
    <t>Крокеты Детские запеченные 100</t>
  </si>
  <si>
    <t>Макароны отварные с маслом сливочным180</t>
  </si>
  <si>
    <t>замена</t>
  </si>
  <si>
    <t>Макароны отварные с сыром</t>
  </si>
  <si>
    <t>Макаронные изделия, высшего сорта, яичные</t>
  </si>
  <si>
    <t>61.25</t>
  </si>
  <si>
    <t>Сыр "Российский"</t>
  </si>
  <si>
    <t>Выход</t>
  </si>
  <si>
    <t>груша/яблоко</t>
  </si>
  <si>
    <t>Апельсин свежий/яблоко</t>
  </si>
  <si>
    <t>Котлеты, биточки, шницели (2 вариант)</t>
  </si>
  <si>
    <t>Фрикадельки из говядины, тушеные в соусе</t>
  </si>
  <si>
    <t xml:space="preserve">Рыба, тушенная с овощами </t>
  </si>
  <si>
    <t>Борщ с капустой и картофелем</t>
  </si>
  <si>
    <t>Суп картофельный с крупой (пшено)</t>
  </si>
  <si>
    <t>Кисель из концентрата на плодовых или ягодных экстрактах</t>
  </si>
  <si>
    <t>Винегрет овощной</t>
  </si>
  <si>
    <t>Суп-лапша домашняя с птицей отварной</t>
  </si>
  <si>
    <t>Суп картофельный с крупой (рис)</t>
  </si>
  <si>
    <t>Щи из свежей капусты с картофелем</t>
  </si>
  <si>
    <t>Салат из моркови</t>
  </si>
  <si>
    <t>Борщ "Сибирский" с фасолью</t>
  </si>
  <si>
    <t>250/10</t>
  </si>
  <si>
    <t>250/15</t>
  </si>
  <si>
    <t>Каша рисовая рассыпчатая</t>
  </si>
  <si>
    <t>Приложение 8 к СанПиН 2.3/2.4.3590-20</t>
  </si>
  <si>
    <t>Примерное меню и пищевая ценность приготовляемых блюд</t>
  </si>
  <si>
    <t xml:space="preserve">Рацион: Школа </t>
  </si>
  <si>
    <t>понедельник</t>
  </si>
  <si>
    <t>Сезон:</t>
  </si>
  <si>
    <t>осенне-весенний</t>
  </si>
  <si>
    <t>Неделя:</t>
  </si>
  <si>
    <t>Возраст:</t>
  </si>
  <si>
    <t>7-11 лет</t>
  </si>
  <si>
    <t>№ рец. по сборнику</t>
  </si>
  <si>
    <t>Прием пищи, наименование блюда</t>
  </si>
  <si>
    <t>Масса порции</t>
  </si>
  <si>
    <t>Пищевые вещества (г)</t>
  </si>
  <si>
    <t>Энерге-</t>
  </si>
  <si>
    <t>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</si>
  <si>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</si>
  <si>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</si>
  <si>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</si>
  <si>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</si>
  <si>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</si>
  <si>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</si>
  <si>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В2</t>
  </si>
  <si>
    <t>C</t>
  </si>
  <si>
    <t>A</t>
  </si>
  <si>
    <t>E</t>
  </si>
  <si>
    <t>Ca</t>
  </si>
  <si>
    <t>P</t>
  </si>
  <si>
    <t>ZN</t>
  </si>
  <si>
    <t>I</t>
  </si>
  <si>
    <t>Mg</t>
  </si>
  <si>
    <t>Fe</t>
  </si>
  <si>
    <t>Завтрак молочный</t>
  </si>
  <si>
    <t>Фрукт порционно / Яблоко 1шт</t>
  </si>
  <si>
    <t>Сыр твердо-мягкий порционно с м.д.ж. 45%</t>
  </si>
  <si>
    <t>Каша геркулесовая молочная с маслом сливочным</t>
  </si>
  <si>
    <t>Итого за Завтрак молочный</t>
  </si>
  <si>
    <t>% от суточной нормы</t>
  </si>
  <si>
    <t>Обед (полноценный рацион питания)</t>
  </si>
  <si>
    <t>Салат из белокочанной капусты с морковью</t>
  </si>
  <si>
    <t>Макаронные изделия отварные с маслом сливочным</t>
  </si>
  <si>
    <t>200//4</t>
  </si>
  <si>
    <t>ПР</t>
  </si>
  <si>
    <t>Итого за Обед (полноценный рацион питания)</t>
  </si>
  <si>
    <t>Полдник</t>
  </si>
  <si>
    <t>Кисломолочный напиток / Кефир</t>
  </si>
  <si>
    <t>Итого за Полдник</t>
  </si>
  <si>
    <t>Итого в день</t>
  </si>
  <si>
    <t>суточная норма</t>
  </si>
  <si>
    <t>Примерное меню и пищевая ценность приготовляемых блюд (лист 2)</t>
  </si>
  <si>
    <t>вторник</t>
  </si>
  <si>
    <t>№</t>
  </si>
  <si>
    <t>рец.</t>
  </si>
  <si>
    <t>Завтрак мясной</t>
  </si>
  <si>
    <t xml:space="preserve">Холодная закуска: Овощи порционно / Огурец </t>
  </si>
  <si>
    <t xml:space="preserve">Рис отварной с маслом сливочным </t>
  </si>
  <si>
    <t>Кофейный напиток на молоке</t>
  </si>
  <si>
    <t>Итого за Завтрак мясной</t>
  </si>
  <si>
    <t xml:space="preserve">Картофельное пюре с маслом сливочным </t>
  </si>
  <si>
    <t xml:space="preserve">Компот из смеси сухофруктов     С- витаминизированный </t>
  </si>
  <si>
    <t>Фрукт порционно / Груша 1шт</t>
  </si>
  <si>
    <t>ПРИМЕЧАНИЕ ** могут быть использованы нектары, морсы, напитки сокосодержащие (в т.ч. обогащенные)</t>
  </si>
  <si>
    <t>Примерное меню и пищевая ценность приготовляемых блюд (лист 3)</t>
  </si>
  <si>
    <t>Рацион: Школа</t>
  </si>
  <si>
    <t>среда</t>
  </si>
  <si>
    <t>Салат из моркови с яблоком</t>
  </si>
  <si>
    <t xml:space="preserve">Салат из свежих помидоров и огурцов с растительным маслом </t>
  </si>
  <si>
    <t>Плов с птицей</t>
  </si>
  <si>
    <t xml:space="preserve">Компот из свежих яблок и лимона </t>
  </si>
  <si>
    <t>Примерное меню и пищевая ценность приготовляемых блюд (лист 4)</t>
  </si>
  <si>
    <t>четверг</t>
  </si>
  <si>
    <t>Макаронный изделия с маслом сливочным</t>
  </si>
  <si>
    <t>Примерное меню и пищевая ценность приготовляемых блюд (лист 5)</t>
  </si>
  <si>
    <t>пятница</t>
  </si>
  <si>
    <t>осенне- весенний</t>
  </si>
  <si>
    <t xml:space="preserve">Омлет натуральный с маслом сливочным </t>
  </si>
  <si>
    <t>Примерное меню и пищевая ценность приготовляемых блюд (лист 6)</t>
  </si>
  <si>
    <t>Сок фруктовый**</t>
  </si>
  <si>
    <t>Примерное меню и пищевая ценность приготовляемых блюд (лист 7)</t>
  </si>
  <si>
    <t>Фрукт порционно / Апельсин 1 шт</t>
  </si>
  <si>
    <t xml:space="preserve">Каша гречневая молочная с маслом сливочным </t>
  </si>
  <si>
    <t>Макаронные изделия с маслом сливочным</t>
  </si>
  <si>
    <t>Примерное меню и пищевая ценность приготовляемых блюд (лист 8)</t>
  </si>
  <si>
    <t>200//10</t>
  </si>
  <si>
    <t xml:space="preserve">Птица, порционная запечённая </t>
  </si>
  <si>
    <t xml:space="preserve">Компот из смеси сухофруктов С- витаминизированный </t>
  </si>
  <si>
    <t>Примерное меню и пищевая ценность приготовляемых блюд (лист 9)</t>
  </si>
  <si>
    <t xml:space="preserve">Жаркое по- домашнему </t>
  </si>
  <si>
    <t>Примерное меню и пищевая ценность приготовляемых блюд (лист 10)</t>
  </si>
  <si>
    <t xml:space="preserve">Кофейный напиток с сахаром  </t>
  </si>
  <si>
    <t xml:space="preserve">Рыба, запеченная под соусом </t>
  </si>
  <si>
    <t>Каша гречневая рассыпчатая с маслом</t>
  </si>
  <si>
    <t>12-18 лет</t>
  </si>
  <si>
    <t>Макаронный изделия отварные с маслом сливочным</t>
  </si>
  <si>
    <t xml:space="preserve">Какао с молоком </t>
  </si>
  <si>
    <t>Морковь припущенная</t>
  </si>
  <si>
    <t>* 71</t>
  </si>
  <si>
    <t>451 (ДС)</t>
  </si>
  <si>
    <t xml:space="preserve">Батон пшеничный </t>
  </si>
  <si>
    <t>б/н</t>
  </si>
  <si>
    <t>Повидло</t>
  </si>
  <si>
    <t>Батон пшеничный</t>
  </si>
  <si>
    <t>Икра кабачковая (промышленного производства)</t>
  </si>
  <si>
    <t>*115</t>
  </si>
  <si>
    <t>Запеканка из творога</t>
  </si>
  <si>
    <t>54-1т-20</t>
  </si>
  <si>
    <t>* 47</t>
  </si>
  <si>
    <t>Салат из квашенной капусты</t>
  </si>
  <si>
    <t>Суп картофельный с бобовыми</t>
  </si>
  <si>
    <t>Гуляш из куриного филе</t>
  </si>
  <si>
    <t>Суп картофельный с крупой (гречневой)</t>
  </si>
  <si>
    <t>* 21</t>
  </si>
  <si>
    <t>Салат из солёных огурцов с луком</t>
  </si>
  <si>
    <t>Икра кабачковая</t>
  </si>
  <si>
    <t xml:space="preserve">Рассольник "Ленинградский" с крупой перловой </t>
  </si>
  <si>
    <t>Бифштекс рубленый "Детский"</t>
  </si>
  <si>
    <t>138 (2)</t>
  </si>
  <si>
    <t>297(ЯС)</t>
  </si>
  <si>
    <t>*336</t>
  </si>
  <si>
    <t xml:space="preserve">Суп картофельный с вермишелью </t>
  </si>
  <si>
    <t>*338</t>
  </si>
  <si>
    <t>ПРИМЕЧАНИЕ: * замена</t>
  </si>
  <si>
    <t>Таблица 2. Среднесуточные наборы пищевой продукции для организации питания детей от 7 до 18 лет (в нетто г, мл, на 1 ребенка в сутки)</t>
  </si>
  <si>
    <t>N</t>
  </si>
  <si>
    <t>Наименование пищевой продукции</t>
  </si>
  <si>
    <t>Итого за сутки</t>
  </si>
  <si>
    <t>или группы пищевой продукции</t>
  </si>
  <si>
    <t>12 лет и старше</t>
  </si>
  <si>
    <t>Хлеб ржаной</t>
  </si>
  <si>
    <t>Крупы, бобовые</t>
  </si>
  <si>
    <t>Овощи (свежие, мороженые,</t>
  </si>
  <si>
    <t>консервированные), включая соленые и квашеные (не более 10% от общего</t>
  </si>
  <si>
    <t>количества овощей), в т.ч. томат-пюре,</t>
  </si>
  <si>
    <t>зелень, г</t>
  </si>
  <si>
    <t>Фрукты свежие</t>
  </si>
  <si>
    <t>Соки плодоовощные, напитки</t>
  </si>
  <si>
    <t>витаминизированные, в т.ч. инстантные</t>
  </si>
  <si>
    <t>Мясо 1-й категории</t>
  </si>
  <si>
    <t>Субпродукты (печень, язык, сердце)</t>
  </si>
  <si>
    <t>Птица (цыплята-бройлеры потрошеные - 1 кат)</t>
  </si>
  <si>
    <t>Рыба (филе), в т.ч. филе слабо- или малосоленое</t>
  </si>
  <si>
    <t>Кисломолочная пищевая продукция</t>
  </si>
  <si>
    <t>Творог (5% - 9% м.д.ж.)</t>
  </si>
  <si>
    <t>Сыр</t>
  </si>
  <si>
    <t>Таблица 1</t>
  </si>
  <si>
    <t>Потребность в пищевых веществах, энергии, витаминах и минеральных веществах (суточная)</t>
  </si>
  <si>
    <t>Показатели</t>
  </si>
  <si>
    <t>Потребность в пищевых веществах</t>
  </si>
  <si>
    <t>1-3 лет</t>
  </si>
  <si>
    <t>3-7 лет</t>
  </si>
  <si>
    <t>12 лети старше</t>
  </si>
  <si>
    <t>белки (г/сут)</t>
  </si>
  <si>
    <t>жиры (г/сут)</t>
  </si>
  <si>
    <t>углеводы (г/сут)</t>
  </si>
  <si>
    <t>энергетическая ценность (ккал/сут)</t>
  </si>
  <si>
    <t>витамин С (мг/сут)</t>
  </si>
  <si>
    <t>витамин В1 (мг/сут)</t>
  </si>
  <si>
    <t>витамин В2 (мг/сут)</t>
  </si>
  <si>
    <t>витамин А (рет. экв/сут)</t>
  </si>
  <si>
    <t>витамин D (мкг/сут)</t>
  </si>
  <si>
    <t>кальций (мг/сут)</t>
  </si>
  <si>
    <t>фосфор (мг/сут)</t>
  </si>
  <si>
    <t>магний (мг/сут)</t>
  </si>
  <si>
    <t>железо (мг/сут)</t>
  </si>
  <si>
    <t>калий (мг/сут)</t>
  </si>
  <si>
    <t>йод (мг/сут)</t>
  </si>
  <si>
    <t>селен (мг/сут)</t>
  </si>
  <si>
    <t>фтор (мг/сут)</t>
  </si>
  <si>
    <t>завтрак 20-25% от суточной нормы</t>
  </si>
  <si>
    <t>обед 30-35% от суточной нормы</t>
  </si>
  <si>
    <t>полдник 10-15% от суточной нормы</t>
  </si>
  <si>
    <t>суточная норма 7-11 лет</t>
  </si>
  <si>
    <t>Булочка "Веснушка"</t>
  </si>
  <si>
    <t>4/7</t>
  </si>
  <si>
    <t xml:space="preserve">Булочка сдобная </t>
  </si>
  <si>
    <t>Булочка творожная</t>
  </si>
  <si>
    <t xml:space="preserve">Крокеты «Детские» запечённые </t>
  </si>
  <si>
    <t xml:space="preserve">Крокеты "Детские" запеченные </t>
  </si>
  <si>
    <t xml:space="preserve">Бифштекс рубленый "Детский" </t>
  </si>
  <si>
    <t>Булочка "Декор Сложный"</t>
  </si>
  <si>
    <t xml:space="preserve">Суп-лапша домашняя с птицей отварной </t>
  </si>
  <si>
    <t xml:space="preserve">Тефтели "Детские" под соусом </t>
  </si>
  <si>
    <t xml:space="preserve">Тефтели "Детские" под овощным соусом </t>
  </si>
  <si>
    <t>Итого средняя за обед в неделю</t>
  </si>
  <si>
    <t>Итого средняя за завтрак в неделю</t>
  </si>
  <si>
    <t>Итого средняя за полдник в неделю</t>
  </si>
  <si>
    <t>Итого  в день за 2 -ую неделю</t>
  </si>
  <si>
    <t>Итого  в день за 1 -ую неделю</t>
  </si>
  <si>
    <t>Фрукт порционно / Яблоко 1 шт.</t>
  </si>
  <si>
    <t>Фрукт порционно / Груша 1 шт.</t>
  </si>
</sst>
</file>

<file path=xl/styles.xml><?xml version="1.0" encoding="utf-8"?>
<styleSheet xmlns="http://schemas.openxmlformats.org/spreadsheetml/2006/main">
  <numFmts count="5">
    <numFmt numFmtId="164" formatCode="0&quot; порц&quot;"/>
    <numFmt numFmtId="165" formatCode="0.0"/>
    <numFmt numFmtId="166" formatCode="0.000"/>
    <numFmt numFmtId="167" formatCode="0&quot;            &quot;"/>
    <numFmt numFmtId="168" formatCode="0.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i/>
      <sz val="8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5.5"/>
      <color rgb="FF232323"/>
      <name val="Arial"/>
      <family val="2"/>
      <charset val="204"/>
    </font>
    <font>
      <sz val="10.5"/>
      <color rgb="FF2C2C2C"/>
      <name val="Times New Roman"/>
      <family val="1"/>
      <charset val="204"/>
    </font>
    <font>
      <sz val="14"/>
      <color rgb="FF3B3B3B"/>
      <name val="Arial"/>
      <family val="2"/>
      <charset val="204"/>
    </font>
    <font>
      <i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3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5" fontId="0" fillId="0" borderId="9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/>
    <xf numFmtId="2" fontId="6" fillId="2" borderId="0" xfId="0" applyNumberFormat="1" applyFont="1" applyFill="1"/>
    <xf numFmtId="0" fontId="6" fillId="2" borderId="0" xfId="0" applyFont="1" applyFill="1"/>
    <xf numFmtId="2" fontId="8" fillId="2" borderId="0" xfId="0" applyNumberFormat="1" applyFont="1" applyFill="1"/>
    <xf numFmtId="0" fontId="6" fillId="3" borderId="0" xfId="0" applyFont="1" applyFill="1"/>
    <xf numFmtId="0" fontId="6" fillId="4" borderId="0" xfId="0" applyFont="1" applyFill="1"/>
    <xf numFmtId="0" fontId="9" fillId="0" borderId="0" xfId="1" applyFont="1" applyBorder="1" applyAlignment="1">
      <alignment horizontal="left"/>
    </xf>
    <xf numFmtId="0" fontId="9" fillId="0" borderId="0" xfId="1" applyBorder="1" applyAlignment="1">
      <alignment horizontal="center"/>
    </xf>
    <xf numFmtId="0" fontId="6" fillId="0" borderId="0" xfId="0" applyFont="1" applyFill="1"/>
    <xf numFmtId="0" fontId="6" fillId="5" borderId="0" xfId="0" applyFont="1" applyFill="1"/>
    <xf numFmtId="0" fontId="8" fillId="0" borderId="0" xfId="0" applyFont="1" applyAlignment="1">
      <alignment vertical="top"/>
    </xf>
    <xf numFmtId="2" fontId="8" fillId="4" borderId="0" xfId="0" applyNumberFormat="1" applyFont="1" applyFill="1"/>
    <xf numFmtId="0" fontId="8" fillId="6" borderId="0" xfId="0" applyFont="1" applyFill="1"/>
    <xf numFmtId="0" fontId="6" fillId="6" borderId="0" xfId="0" applyFont="1" applyFill="1"/>
    <xf numFmtId="0" fontId="8" fillId="5" borderId="0" xfId="0" applyFont="1" applyFill="1"/>
    <xf numFmtId="0" fontId="8" fillId="8" borderId="0" xfId="0" applyFont="1" applyFill="1"/>
    <xf numFmtId="0" fontId="6" fillId="8" borderId="0" xfId="0" applyFont="1" applyFill="1"/>
    <xf numFmtId="0" fontId="12" fillId="0" borderId="0" xfId="0" applyFont="1"/>
    <xf numFmtId="0" fontId="13" fillId="0" borderId="0" xfId="0" applyFont="1"/>
    <xf numFmtId="0" fontId="6" fillId="9" borderId="0" xfId="0" applyFont="1" applyFill="1"/>
    <xf numFmtId="2" fontId="8" fillId="0" borderId="0" xfId="0" applyNumberFormat="1" applyFont="1"/>
    <xf numFmtId="0" fontId="13" fillId="0" borderId="0" xfId="0" applyFont="1" applyFill="1"/>
    <xf numFmtId="0" fontId="8" fillId="12" borderId="0" xfId="0" applyFont="1" applyFill="1"/>
    <xf numFmtId="0" fontId="6" fillId="12" borderId="0" xfId="0" applyFont="1" applyFill="1"/>
    <xf numFmtId="0" fontId="6" fillId="10" borderId="0" xfId="0" applyFont="1" applyFill="1"/>
    <xf numFmtId="2" fontId="8" fillId="10" borderId="0" xfId="0" applyNumberFormat="1" applyFont="1" applyFill="1"/>
    <xf numFmtId="0" fontId="6" fillId="13" borderId="0" xfId="0" applyFont="1" applyFill="1"/>
    <xf numFmtId="0" fontId="9" fillId="0" borderId="13" xfId="1" applyNumberFormat="1" applyFont="1" applyBorder="1" applyAlignment="1">
      <alignment horizontal="center" vertical="center"/>
    </xf>
    <xf numFmtId="165" fontId="9" fillId="0" borderId="16" xfId="1" applyNumberFormat="1" applyFont="1" applyBorder="1" applyAlignment="1">
      <alignment horizontal="center"/>
    </xf>
    <xf numFmtId="0" fontId="9" fillId="0" borderId="13" xfId="1" applyNumberFormat="1" applyFont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2" fontId="6" fillId="13" borderId="0" xfId="0" applyNumberFormat="1" applyFont="1" applyFill="1"/>
    <xf numFmtId="2" fontId="8" fillId="13" borderId="0" xfId="0" applyNumberFormat="1" applyFont="1" applyFill="1"/>
    <xf numFmtId="2" fontId="8" fillId="5" borderId="0" xfId="0" applyNumberFormat="1" applyFont="1" applyFill="1"/>
    <xf numFmtId="0" fontId="14" fillId="3" borderId="0" xfId="0" applyFont="1" applyFill="1" applyAlignment="1">
      <alignment horizontal="center" vertical="top" wrapText="1"/>
    </xf>
    <xf numFmtId="2" fontId="14" fillId="3" borderId="0" xfId="0" applyNumberFormat="1" applyFont="1" applyFill="1" applyAlignment="1">
      <alignment horizontal="center" vertical="top" wrapText="1"/>
    </xf>
    <xf numFmtId="0" fontId="0" fillId="3" borderId="0" xfId="0" applyFill="1"/>
    <xf numFmtId="0" fontId="0" fillId="14" borderId="0" xfId="0" applyFill="1"/>
    <xf numFmtId="0" fontId="11" fillId="13" borderId="0" xfId="0" applyFont="1" applyFill="1"/>
    <xf numFmtId="0" fontId="0" fillId="11" borderId="0" xfId="0" applyFill="1"/>
    <xf numFmtId="0" fontId="0" fillId="13" borderId="0" xfId="0" applyFill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0" xfId="0" applyFill="1"/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7" borderId="0" xfId="0" applyFill="1"/>
    <xf numFmtId="0" fontId="0" fillId="15" borderId="0" xfId="0" applyFill="1"/>
    <xf numFmtId="0" fontId="0" fillId="0" borderId="0" xfId="0" applyAlignment="1"/>
    <xf numFmtId="0" fontId="8" fillId="0" borderId="0" xfId="0" applyFont="1" applyAlignment="1"/>
    <xf numFmtId="0" fontId="11" fillId="13" borderId="0" xfId="0" applyFont="1" applyFill="1" applyAlignment="1"/>
    <xf numFmtId="0" fontId="0" fillId="0" borderId="6" xfId="0" applyFont="1" applyBorder="1" applyAlignment="1"/>
    <xf numFmtId="0" fontId="0" fillId="13" borderId="0" xfId="0" applyFill="1" applyAlignment="1"/>
    <xf numFmtId="0" fontId="0" fillId="15" borderId="0" xfId="0" applyFill="1" applyAlignment="1"/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6" borderId="0" xfId="0" applyFont="1" applyFill="1"/>
    <xf numFmtId="0" fontId="6" fillId="16" borderId="0" xfId="0" applyFont="1" applyFill="1"/>
    <xf numFmtId="0" fontId="16" fillId="0" borderId="0" xfId="0" applyFont="1"/>
    <xf numFmtId="0" fontId="8" fillId="9" borderId="0" xfId="0" applyFont="1" applyFill="1"/>
    <xf numFmtId="0" fontId="2" fillId="9" borderId="0" xfId="0" applyFont="1" applyFill="1"/>
    <xf numFmtId="2" fontId="8" fillId="9" borderId="0" xfId="0" applyNumberFormat="1" applyFont="1" applyFill="1"/>
    <xf numFmtId="0" fontId="13" fillId="13" borderId="0" xfId="0" applyFont="1" applyFill="1"/>
    <xf numFmtId="0" fontId="13" fillId="8" borderId="0" xfId="0" applyFont="1" applyFill="1"/>
    <xf numFmtId="0" fontId="9" fillId="0" borderId="9" xfId="1" applyFont="1" applyBorder="1" applyAlignment="1">
      <alignment horizontal="left"/>
    </xf>
    <xf numFmtId="0" fontId="9" fillId="0" borderId="10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165" fontId="9" fillId="0" borderId="9" xfId="1" applyNumberFormat="1" applyFont="1" applyBorder="1" applyAlignment="1">
      <alignment horizontal="center"/>
    </xf>
    <xf numFmtId="165" fontId="9" fillId="0" borderId="11" xfId="1" applyNumberFormat="1" applyFont="1" applyBorder="1" applyAlignment="1">
      <alignment horizontal="center"/>
    </xf>
    <xf numFmtId="165" fontId="9" fillId="0" borderId="16" xfId="1" applyNumberFormat="1" applyFont="1" applyBorder="1" applyAlignment="1">
      <alignment horizontal="center"/>
    </xf>
    <xf numFmtId="0" fontId="9" fillId="0" borderId="13" xfId="1" applyNumberFormat="1" applyFont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0" fontId="9" fillId="0" borderId="13" xfId="1" applyNumberFormat="1" applyFont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165" fontId="9" fillId="0" borderId="16" xfId="1" applyNumberFormat="1" applyFont="1" applyBorder="1" applyAlignment="1">
      <alignment horizontal="center"/>
    </xf>
    <xf numFmtId="0" fontId="16" fillId="2" borderId="0" xfId="0" applyFont="1" applyFill="1"/>
    <xf numFmtId="0" fontId="12" fillId="2" borderId="0" xfId="0" applyFont="1" applyFill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9" fillId="0" borderId="22" xfId="1" applyFont="1" applyBorder="1" applyAlignment="1">
      <alignment horizontal="left"/>
    </xf>
    <xf numFmtId="0" fontId="9" fillId="0" borderId="23" xfId="1" applyFont="1" applyBorder="1" applyAlignment="1">
      <alignment horizontal="left"/>
    </xf>
    <xf numFmtId="0" fontId="9" fillId="0" borderId="24" xfId="1" applyFont="1" applyBorder="1" applyAlignment="1">
      <alignment horizontal="left"/>
    </xf>
    <xf numFmtId="0" fontId="9" fillId="0" borderId="22" xfId="1" applyBorder="1" applyAlignment="1">
      <alignment horizontal="center"/>
    </xf>
    <xf numFmtId="0" fontId="9" fillId="0" borderId="24" xfId="1" applyBorder="1" applyAlignment="1">
      <alignment horizontal="center"/>
    </xf>
    <xf numFmtId="0" fontId="8" fillId="17" borderId="0" xfId="0" applyFont="1" applyFill="1"/>
    <xf numFmtId="0" fontId="2" fillId="17" borderId="0" xfId="0" applyFont="1" applyFill="1"/>
    <xf numFmtId="0" fontId="6" fillId="17" borderId="0" xfId="0" applyFont="1" applyFill="1"/>
    <xf numFmtId="0" fontId="16" fillId="17" borderId="0" xfId="0" applyFont="1" applyFill="1"/>
    <xf numFmtId="0" fontId="12" fillId="17" borderId="0" xfId="0" applyFont="1" applyFill="1"/>
    <xf numFmtId="0" fontId="13" fillId="17" borderId="0" xfId="0" applyFont="1" applyFill="1"/>
    <xf numFmtId="2" fontId="13" fillId="13" borderId="0" xfId="0" applyNumberFormat="1" applyFont="1" applyFill="1"/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" fillId="5" borderId="0" xfId="0" applyFont="1" applyFill="1"/>
    <xf numFmtId="0" fontId="0" fillId="0" borderId="0" xfId="0" applyFill="1"/>
    <xf numFmtId="0" fontId="0" fillId="0" borderId="2" xfId="0" applyBorder="1"/>
    <xf numFmtId="0" fontId="0" fillId="0" borderId="32" xfId="0" applyBorder="1"/>
    <xf numFmtId="0" fontId="2" fillId="0" borderId="2" xfId="0" applyFont="1" applyBorder="1" applyAlignment="1">
      <alignment horizontal="center" vertical="center" wrapText="1"/>
    </xf>
    <xf numFmtId="0" fontId="0" fillId="0" borderId="0" xfId="0" applyFont="1"/>
    <xf numFmtId="0" fontId="24" fillId="0" borderId="0" xfId="0" applyFont="1" applyAlignment="1">
      <alignment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left" vertical="center" wrapText="1" indent="3"/>
    </xf>
    <xf numFmtId="0" fontId="25" fillId="0" borderId="39" xfId="0" applyFont="1" applyBorder="1" applyAlignment="1">
      <alignment horizontal="left" vertical="center" wrapText="1" indent="4"/>
    </xf>
    <xf numFmtId="0" fontId="25" fillId="0" borderId="39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left" vertical="center" wrapText="1" indent="1"/>
    </xf>
    <xf numFmtId="0" fontId="25" fillId="0" borderId="41" xfId="0" applyFont="1" applyBorder="1" applyAlignment="1">
      <alignment horizontal="left" vertical="center" wrapText="1" indent="1"/>
    </xf>
    <xf numFmtId="0" fontId="25" fillId="0" borderId="35" xfId="0" applyFont="1" applyBorder="1" applyAlignment="1">
      <alignment vertical="center" wrapText="1"/>
    </xf>
    <xf numFmtId="0" fontId="25" fillId="0" borderId="40" xfId="0" applyFont="1" applyBorder="1" applyAlignment="1">
      <alignment vertical="center" wrapText="1"/>
    </xf>
    <xf numFmtId="0" fontId="24" fillId="0" borderId="0" xfId="0" applyFont="1" applyAlignment="1">
      <alignment horizontal="left" vertical="center" indent="1"/>
    </xf>
    <xf numFmtId="0" fontId="25" fillId="0" borderId="35" xfId="0" applyFont="1" applyBorder="1" applyAlignment="1">
      <alignment horizontal="left" vertical="center" wrapText="1" indent="1"/>
    </xf>
    <xf numFmtId="0" fontId="25" fillId="0" borderId="37" xfId="0" applyFont="1" applyBorder="1" applyAlignment="1">
      <alignment horizontal="right" vertical="center" wrapText="1"/>
    </xf>
    <xf numFmtId="0" fontId="25" fillId="0" borderId="39" xfId="0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25" fillId="0" borderId="33" xfId="0" applyFont="1" applyBorder="1" applyAlignment="1">
      <alignment horizontal="left" vertical="center" wrapText="1" indent="1"/>
    </xf>
    <xf numFmtId="0" fontId="25" fillId="12" borderId="39" xfId="0" applyFont="1" applyFill="1" applyBorder="1" applyAlignment="1">
      <alignment horizontal="center" vertical="center" wrapText="1"/>
    </xf>
    <xf numFmtId="0" fontId="25" fillId="12" borderId="37" xfId="0" applyFont="1" applyFill="1" applyBorder="1" applyAlignment="1">
      <alignment horizontal="center" vertical="center" wrapText="1"/>
    </xf>
    <xf numFmtId="0" fontId="25" fillId="18" borderId="39" xfId="0" applyFont="1" applyFill="1" applyBorder="1" applyAlignment="1">
      <alignment horizontal="center" vertical="center" wrapText="1"/>
    </xf>
    <xf numFmtId="0" fontId="25" fillId="18" borderId="37" xfId="0" applyFont="1" applyFill="1" applyBorder="1" applyAlignment="1">
      <alignment horizontal="center" vertical="center" wrapText="1"/>
    </xf>
    <xf numFmtId="10" fontId="22" fillId="0" borderId="2" xfId="0" applyNumberFormat="1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justify" vertical="center"/>
    </xf>
    <xf numFmtId="0" fontId="23" fillId="0" borderId="2" xfId="0" applyFont="1" applyFill="1" applyBorder="1" applyAlignment="1">
      <alignment horizontal="justify" vertical="center"/>
    </xf>
    <xf numFmtId="168" fontId="22" fillId="0" borderId="2" xfId="0" applyNumberFormat="1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/>
    </xf>
    <xf numFmtId="0" fontId="2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top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justify" vertical="top" wrapText="1"/>
    </xf>
    <xf numFmtId="0" fontId="22" fillId="0" borderId="13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justify" vertical="center"/>
    </xf>
    <xf numFmtId="0" fontId="22" fillId="0" borderId="2" xfId="0" applyFont="1" applyFill="1" applyBorder="1" applyAlignment="1">
      <alignment horizontal="left" vertical="top"/>
    </xf>
    <xf numFmtId="0" fontId="0" fillId="0" borderId="0" xfId="0" applyFont="1" applyFill="1"/>
    <xf numFmtId="0" fontId="2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2" xfId="0" applyFont="1" applyFill="1" applyBorder="1" applyAlignment="1">
      <alignment horizontal="justify" vertical="top" wrapText="1"/>
    </xf>
    <xf numFmtId="0" fontId="22" fillId="0" borderId="2" xfId="0" applyFont="1" applyFill="1" applyBorder="1" applyAlignment="1">
      <alignment horizontal="justify" vertical="top"/>
    </xf>
    <xf numFmtId="0" fontId="23" fillId="0" borderId="2" xfId="0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0" fontId="22" fillId="0" borderId="13" xfId="0" applyFont="1" applyFill="1" applyBorder="1" applyAlignment="1">
      <alignment vertical="top"/>
    </xf>
    <xf numFmtId="0" fontId="22" fillId="0" borderId="14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10" fontId="22" fillId="0" borderId="2" xfId="0" applyNumberFormat="1" applyFont="1" applyFill="1" applyBorder="1" applyAlignment="1">
      <alignment horizontal="justify" vertical="top"/>
    </xf>
    <xf numFmtId="9" fontId="22" fillId="0" borderId="2" xfId="0" applyNumberFormat="1" applyFont="1" applyFill="1" applyBorder="1" applyAlignment="1">
      <alignment horizontal="justify" vertical="top"/>
    </xf>
    <xf numFmtId="2" fontId="22" fillId="0" borderId="2" xfId="0" applyNumberFormat="1" applyFont="1" applyFill="1" applyBorder="1" applyAlignment="1">
      <alignment horizontal="justify" vertical="top"/>
    </xf>
    <xf numFmtId="168" fontId="22" fillId="0" borderId="2" xfId="0" applyNumberFormat="1" applyFont="1" applyFill="1" applyBorder="1" applyAlignment="1">
      <alignment horizontal="justify" vertical="top"/>
    </xf>
    <xf numFmtId="49" fontId="2" fillId="0" borderId="2" xfId="0" applyNumberFormat="1" applyFont="1" applyFill="1" applyBorder="1" applyAlignment="1">
      <alignment horizontal="justify" vertical="top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top"/>
    </xf>
    <xf numFmtId="0" fontId="22" fillId="0" borderId="2" xfId="0" applyNumberFormat="1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justify" vertical="top"/>
    </xf>
    <xf numFmtId="0" fontId="0" fillId="0" borderId="2" xfId="0" applyNumberFormat="1" applyFont="1" applyBorder="1" applyAlignment="1">
      <alignment horizontal="center" vertical="center"/>
    </xf>
    <xf numFmtId="0" fontId="0" fillId="0" borderId="8" xfId="0" applyFont="1" applyBorder="1"/>
    <xf numFmtId="165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5" fontId="0" fillId="0" borderId="9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8" xfId="0" applyFont="1" applyBorder="1"/>
    <xf numFmtId="165" fontId="11" fillId="0" borderId="8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7" fillId="0" borderId="8" xfId="0" applyFont="1" applyBorder="1"/>
    <xf numFmtId="0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65" fontId="9" fillId="0" borderId="9" xfId="1" applyNumberFormat="1" applyFont="1" applyBorder="1" applyAlignment="1">
      <alignment horizontal="center"/>
    </xf>
    <xf numFmtId="165" fontId="9" fillId="0" borderId="11" xfId="1" applyNumberFormat="1" applyFont="1" applyBorder="1" applyAlignment="1">
      <alignment horizontal="center"/>
    </xf>
    <xf numFmtId="0" fontId="9" fillId="0" borderId="9" xfId="1" applyBorder="1" applyAlignment="1">
      <alignment horizontal="center"/>
    </xf>
    <xf numFmtId="0" fontId="9" fillId="0" borderId="11" xfId="1" applyBorder="1" applyAlignment="1">
      <alignment horizontal="center"/>
    </xf>
    <xf numFmtId="0" fontId="9" fillId="0" borderId="9" xfId="1" applyFont="1" applyBorder="1" applyAlignment="1">
      <alignment horizontal="left"/>
    </xf>
    <xf numFmtId="0" fontId="9" fillId="0" borderId="10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9" fillId="0" borderId="8" xfId="1" applyFont="1" applyBorder="1"/>
    <xf numFmtId="165" fontId="9" fillId="0" borderId="8" xfId="1" applyNumberFormat="1" applyFont="1" applyBorder="1" applyAlignment="1">
      <alignment horizontal="center"/>
    </xf>
    <xf numFmtId="0" fontId="17" fillId="0" borderId="8" xfId="1" applyFont="1" applyBorder="1"/>
    <xf numFmtId="165" fontId="0" fillId="9" borderId="9" xfId="0" applyNumberFormat="1" applyFont="1" applyFill="1" applyBorder="1" applyAlignment="1">
      <alignment horizontal="center"/>
    </xf>
    <xf numFmtId="165" fontId="0" fillId="9" borderId="11" xfId="0" applyNumberFormat="1" applyFont="1" applyFill="1" applyBorder="1" applyAlignment="1">
      <alignment horizontal="center"/>
    </xf>
    <xf numFmtId="0" fontId="0" fillId="9" borderId="8" xfId="0" applyFont="1" applyFill="1" applyBorder="1"/>
    <xf numFmtId="165" fontId="0" fillId="9" borderId="8" xfId="0" applyNumberFormat="1" applyFont="1" applyFill="1" applyBorder="1" applyAlignment="1">
      <alignment horizontal="center"/>
    </xf>
    <xf numFmtId="0" fontId="0" fillId="9" borderId="9" xfId="0" applyFont="1" applyFill="1" applyBorder="1" applyAlignment="1">
      <alignment horizontal="left"/>
    </xf>
    <xf numFmtId="0" fontId="0" fillId="9" borderId="10" xfId="0" applyFont="1" applyFill="1" applyBorder="1" applyAlignment="1">
      <alignment horizontal="left"/>
    </xf>
    <xf numFmtId="0" fontId="0" fillId="9" borderId="11" xfId="0" applyFont="1" applyFill="1" applyBorder="1" applyAlignment="1">
      <alignment horizontal="left"/>
    </xf>
    <xf numFmtId="0" fontId="0" fillId="9" borderId="2" xfId="0" applyNumberFormat="1" applyFont="1" applyFill="1" applyBorder="1" applyAlignment="1">
      <alignment horizontal="left"/>
    </xf>
    <xf numFmtId="0" fontId="0" fillId="9" borderId="2" xfId="0" applyNumberFormat="1" applyFont="1" applyFill="1" applyBorder="1" applyAlignment="1">
      <alignment horizontal="center" vertical="center"/>
    </xf>
    <xf numFmtId="0" fontId="0" fillId="9" borderId="2" xfId="0" applyNumberFormat="1" applyFont="1" applyFill="1" applyBorder="1" applyAlignment="1">
      <alignment horizontal="center"/>
    </xf>
    <xf numFmtId="1" fontId="0" fillId="9" borderId="2" xfId="0" applyNumberFormat="1" applyFont="1" applyFill="1" applyBorder="1" applyAlignment="1">
      <alignment horizontal="center"/>
    </xf>
    <xf numFmtId="1" fontId="0" fillId="9" borderId="8" xfId="0" applyNumberFormat="1" applyFont="1" applyFill="1" applyBorder="1" applyAlignment="1">
      <alignment horizontal="center"/>
    </xf>
    <xf numFmtId="165" fontId="17" fillId="0" borderId="8" xfId="1" applyNumberFormat="1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9" fillId="0" borderId="16" xfId="1" applyFont="1" applyBorder="1" applyAlignment="1">
      <alignment horizontal="left"/>
    </xf>
    <xf numFmtId="0" fontId="9" fillId="0" borderId="20" xfId="1" applyFont="1" applyBorder="1" applyAlignment="1">
      <alignment horizontal="left"/>
    </xf>
    <xf numFmtId="0" fontId="9" fillId="0" borderId="17" xfId="1" applyFont="1" applyBorder="1" applyAlignment="1">
      <alignment horizontal="left"/>
    </xf>
    <xf numFmtId="0" fontId="9" fillId="0" borderId="13" xfId="1" applyNumberFormat="1" applyFont="1" applyBorder="1" applyAlignment="1">
      <alignment horizontal="left"/>
    </xf>
    <xf numFmtId="0" fontId="9" fillId="0" borderId="14" xfId="1" applyNumberFormat="1" applyFont="1" applyBorder="1" applyAlignment="1">
      <alignment horizontal="left"/>
    </xf>
    <xf numFmtId="0" fontId="9" fillId="0" borderId="15" xfId="1" applyNumberFormat="1" applyFont="1" applyBorder="1" applyAlignment="1">
      <alignment horizontal="left"/>
    </xf>
    <xf numFmtId="1" fontId="0" fillId="0" borderId="8" xfId="0" applyNumberFormat="1" applyFont="1" applyBorder="1" applyAlignment="1">
      <alignment horizontal="center"/>
    </xf>
    <xf numFmtId="0" fontId="0" fillId="0" borderId="18" xfId="0" applyFont="1" applyBorder="1"/>
    <xf numFmtId="0" fontId="0" fillId="0" borderId="21" xfId="0" applyFont="1" applyBorder="1"/>
    <xf numFmtId="0" fontId="0" fillId="0" borderId="19" xfId="0" applyFont="1" applyBorder="1"/>
    <xf numFmtId="165" fontId="0" fillId="0" borderId="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left"/>
    </xf>
    <xf numFmtId="0" fontId="9" fillId="0" borderId="2" xfId="1" applyNumberFormat="1" applyFont="1" applyBorder="1" applyAlignment="1">
      <alignment horizontal="center"/>
    </xf>
    <xf numFmtId="1" fontId="9" fillId="0" borderId="2" xfId="1" applyNumberFormat="1" applyFont="1" applyBorder="1" applyAlignment="1">
      <alignment horizontal="center"/>
    </xf>
    <xf numFmtId="2" fontId="9" fillId="0" borderId="9" xfId="1" applyNumberFormat="1" applyFont="1" applyBorder="1" applyAlignment="1">
      <alignment horizontal="center"/>
    </xf>
    <xf numFmtId="2" fontId="9" fillId="0" borderId="11" xfId="1" applyNumberFormat="1" applyFont="1" applyBorder="1" applyAlignment="1">
      <alignment horizontal="center"/>
    </xf>
    <xf numFmtId="2" fontId="9" fillId="0" borderId="8" xfId="1" applyNumberFormat="1" applyFont="1" applyBorder="1" applyAlignment="1">
      <alignment horizontal="center"/>
    </xf>
    <xf numFmtId="165" fontId="9" fillId="0" borderId="18" xfId="1" applyNumberFormat="1" applyFont="1" applyBorder="1" applyAlignment="1">
      <alignment horizontal="center"/>
    </xf>
    <xf numFmtId="165" fontId="9" fillId="0" borderId="19" xfId="1" applyNumberFormat="1" applyFont="1" applyBorder="1" applyAlignment="1">
      <alignment horizontal="center"/>
    </xf>
    <xf numFmtId="0" fontId="10" fillId="0" borderId="9" xfId="1" applyFont="1" applyBorder="1" applyAlignment="1">
      <alignment horizontal="left"/>
    </xf>
    <xf numFmtId="0" fontId="10" fillId="0" borderId="10" xfId="1" applyFont="1" applyBorder="1" applyAlignment="1">
      <alignment horizontal="left"/>
    </xf>
    <xf numFmtId="0" fontId="10" fillId="0" borderId="11" xfId="1" applyFont="1" applyBorder="1" applyAlignment="1">
      <alignment horizontal="left"/>
    </xf>
    <xf numFmtId="0" fontId="9" fillId="0" borderId="9" xfId="1" applyFont="1" applyBorder="1"/>
    <xf numFmtId="0" fontId="9" fillId="0" borderId="10" xfId="1" applyFont="1" applyBorder="1"/>
    <xf numFmtId="0" fontId="9" fillId="0" borderId="11" xfId="1" applyFont="1" applyBorder="1"/>
    <xf numFmtId="0" fontId="9" fillId="0" borderId="13" xfId="1" applyNumberFormat="1" applyFont="1" applyBorder="1" applyAlignment="1">
      <alignment horizontal="center"/>
    </xf>
    <xf numFmtId="0" fontId="9" fillId="0" borderId="15" xfId="1" applyNumberFormat="1" applyFont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1" fontId="9" fillId="0" borderId="15" xfId="1" applyNumberFormat="1" applyFont="1" applyBorder="1" applyAlignment="1">
      <alignment horizontal="center"/>
    </xf>
    <xf numFmtId="165" fontId="9" fillId="0" borderId="9" xfId="1" applyNumberFormat="1" applyBorder="1" applyAlignment="1">
      <alignment horizontal="center"/>
    </xf>
    <xf numFmtId="165" fontId="9" fillId="0" borderId="11" xfId="1" applyNumberFormat="1" applyBorder="1" applyAlignment="1">
      <alignment horizontal="center"/>
    </xf>
    <xf numFmtId="165" fontId="9" fillId="0" borderId="16" xfId="1" applyNumberFormat="1" applyFont="1" applyBorder="1" applyAlignment="1">
      <alignment horizontal="center"/>
    </xf>
    <xf numFmtId="165" fontId="9" fillId="0" borderId="17" xfId="1" applyNumberFormat="1" applyFont="1" applyBorder="1" applyAlignment="1">
      <alignment horizontal="center"/>
    </xf>
    <xf numFmtId="0" fontId="22" fillId="0" borderId="2" xfId="0" applyFont="1" applyFill="1" applyBorder="1" applyAlignment="1">
      <alignment horizontal="justify" vertical="top"/>
    </xf>
    <xf numFmtId="0" fontId="22" fillId="0" borderId="13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center" wrapText="1"/>
    </xf>
    <xf numFmtId="0" fontId="2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/>
    </xf>
    <xf numFmtId="0" fontId="2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top" wrapText="1"/>
    </xf>
    <xf numFmtId="0" fontId="22" fillId="0" borderId="2" xfId="0" applyFont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22" fillId="0" borderId="2" xfId="0" applyFont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justify" vertical="top"/>
    </xf>
    <xf numFmtId="0" fontId="22" fillId="0" borderId="14" xfId="0" applyFont="1" applyFill="1" applyBorder="1" applyAlignment="1">
      <alignment horizontal="justify" vertical="top"/>
    </xf>
    <xf numFmtId="0" fontId="22" fillId="0" borderId="15" xfId="0" applyFont="1" applyFill="1" applyBorder="1" applyAlignment="1">
      <alignment horizontal="justify" vertical="top"/>
    </xf>
    <xf numFmtId="0" fontId="2" fillId="0" borderId="2" xfId="0" applyFont="1" applyBorder="1" applyAlignment="1">
      <alignment horizontal="justify" vertical="top"/>
    </xf>
    <xf numFmtId="0" fontId="17" fillId="17" borderId="8" xfId="1" applyFont="1" applyFill="1" applyBorder="1"/>
    <xf numFmtId="165" fontId="17" fillId="17" borderId="8" xfId="1" applyNumberFormat="1" applyFont="1" applyFill="1" applyBorder="1" applyAlignment="1">
      <alignment horizontal="center"/>
    </xf>
    <xf numFmtId="0" fontId="11" fillId="2" borderId="8" xfId="0" applyFont="1" applyFill="1" applyBorder="1"/>
    <xf numFmtId="165" fontId="11" fillId="2" borderId="8" xfId="0" applyNumberFormat="1" applyFont="1" applyFill="1" applyBorder="1" applyAlignment="1">
      <alignment horizontal="center"/>
    </xf>
    <xf numFmtId="0" fontId="9" fillId="17" borderId="8" xfId="1" applyFont="1" applyFill="1" applyBorder="1"/>
    <xf numFmtId="165" fontId="9" fillId="17" borderId="8" xfId="1" applyNumberFormat="1" applyFont="1" applyFill="1" applyBorder="1" applyAlignment="1">
      <alignment horizontal="center"/>
    </xf>
    <xf numFmtId="165" fontId="9" fillId="0" borderId="31" xfId="1" applyNumberFormat="1" applyFont="1" applyBorder="1" applyAlignment="1">
      <alignment horizontal="center"/>
    </xf>
    <xf numFmtId="165" fontId="9" fillId="0" borderId="30" xfId="1" applyNumberFormat="1" applyFont="1" applyBorder="1" applyAlignment="1">
      <alignment horizontal="center"/>
    </xf>
    <xf numFmtId="0" fontId="2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6" fontId="0" fillId="0" borderId="9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left" vertical="center"/>
    </xf>
    <xf numFmtId="0" fontId="15" fillId="0" borderId="12" xfId="0" applyNumberFormat="1" applyFont="1" applyBorder="1" applyAlignment="1">
      <alignment horizontal="left" vertical="center"/>
    </xf>
    <xf numFmtId="0" fontId="15" fillId="0" borderId="2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67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left" vertical="center" wrapText="1" indent="7"/>
    </xf>
    <xf numFmtId="0" fontId="25" fillId="0" borderId="35" xfId="0" applyFont="1" applyBorder="1" applyAlignment="1">
      <alignment horizontal="left" vertical="center" wrapText="1" indent="7"/>
    </xf>
    <xf numFmtId="0" fontId="25" fillId="0" borderId="42" xfId="0" applyFont="1" applyBorder="1" applyAlignment="1">
      <alignment horizontal="left" vertical="center" wrapText="1" indent="11"/>
    </xf>
    <xf numFmtId="0" fontId="25" fillId="0" borderId="38" xfId="0" applyFont="1" applyBorder="1" applyAlignment="1">
      <alignment horizontal="left" vertical="center" wrapText="1" indent="11"/>
    </xf>
    <xf numFmtId="0" fontId="25" fillId="0" borderId="37" xfId="0" applyFont="1" applyBorder="1" applyAlignment="1">
      <alignment horizontal="left" vertical="center" wrapText="1" indent="1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28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9" sqref="B19"/>
    </sheetView>
  </sheetViews>
  <sheetFormatPr defaultRowHeight="15.75"/>
  <cols>
    <col min="1" max="1" width="9.7109375" style="13" customWidth="1"/>
    <col min="2" max="2" width="12.7109375" style="13" customWidth="1"/>
    <col min="3" max="3" width="23.140625" style="13" customWidth="1"/>
    <col min="4" max="4" width="7" style="1" customWidth="1"/>
    <col min="5" max="5" width="27.85546875" style="1" customWidth="1"/>
    <col min="6" max="9" width="0" style="1" hidden="1" customWidth="1"/>
    <col min="10" max="19" width="9.140625" style="1" hidden="1" customWidth="1"/>
    <col min="20" max="20" width="5.42578125" style="1" customWidth="1"/>
    <col min="21" max="21" width="6.85546875" style="1" customWidth="1"/>
    <col min="22" max="22" width="5.7109375" style="1" customWidth="1"/>
    <col min="23" max="23" width="4.7109375" style="1" customWidth="1"/>
    <col min="24" max="24" width="6.7109375" style="1" hidden="1" customWidth="1"/>
    <col min="25" max="25" width="1.140625" style="1" hidden="1" customWidth="1"/>
    <col min="26" max="26" width="6.140625" style="1" hidden="1" customWidth="1"/>
    <col min="27" max="27" width="9.140625" style="1" hidden="1" customWidth="1"/>
    <col min="28" max="28" width="6.7109375" style="1" hidden="1" customWidth="1"/>
    <col min="29" max="29" width="4.85546875" style="1" hidden="1" customWidth="1"/>
    <col min="30" max="31" width="9.140625" style="10"/>
    <col min="32" max="16384" width="9.140625" style="1"/>
  </cols>
  <sheetData>
    <row r="1" spans="1:31">
      <c r="B1" s="33"/>
    </row>
    <row r="2" spans="1:31" s="2" customFormat="1" ht="47.25">
      <c r="A2" s="47" t="s">
        <v>42</v>
      </c>
      <c r="B2" s="48">
        <f>(B4+B29+B64+B96+B124+B177+B199+B239+B262+B305)/10</f>
        <v>60.21486684805992</v>
      </c>
      <c r="C2" s="12"/>
      <c r="D2" s="2" t="s">
        <v>6</v>
      </c>
      <c r="AD2" s="11" t="s">
        <v>23</v>
      </c>
      <c r="AE2" s="11" t="s">
        <v>3</v>
      </c>
    </row>
    <row r="3" spans="1:31">
      <c r="A3" s="13" t="s">
        <v>0</v>
      </c>
      <c r="B3" s="13" t="s">
        <v>1</v>
      </c>
      <c r="C3" s="13" t="s">
        <v>2</v>
      </c>
      <c r="D3" s="1">
        <v>100</v>
      </c>
      <c r="AD3" s="10">
        <v>62.4</v>
      </c>
      <c r="AE3" s="14">
        <f>AD3*D3/1000</f>
        <v>6.24</v>
      </c>
    </row>
    <row r="4" spans="1:31">
      <c r="B4" s="16">
        <f>AE3+AE4+AE5+AE17+AE26</f>
        <v>35.591699999999996</v>
      </c>
      <c r="C4" s="13" t="s">
        <v>4</v>
      </c>
      <c r="D4" s="1">
        <v>20</v>
      </c>
      <c r="T4" s="1">
        <v>21</v>
      </c>
      <c r="AD4" s="10">
        <v>430.2</v>
      </c>
      <c r="AE4" s="14">
        <f>T4*AD4/1000</f>
        <v>9.0341999999999985</v>
      </c>
    </row>
    <row r="5" spans="1:31">
      <c r="C5" s="13" t="s">
        <v>5</v>
      </c>
      <c r="D5" s="1">
        <v>200</v>
      </c>
      <c r="E5" s="202" t="s">
        <v>9</v>
      </c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9" t="s">
        <v>10</v>
      </c>
      <c r="U5" s="209"/>
      <c r="V5" s="209"/>
      <c r="W5" s="209"/>
      <c r="X5" s="209"/>
      <c r="Y5" s="209"/>
      <c r="Z5" s="209"/>
      <c r="AA5" s="209"/>
      <c r="AB5" s="209"/>
      <c r="AC5" s="209"/>
      <c r="AE5" s="14">
        <f>SUM(AE8:AE13)</f>
        <v>11.218900000000001</v>
      </c>
    </row>
    <row r="6" spans="1:31">
      <c r="E6" s="203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5"/>
      <c r="T6" s="210">
        <v>1</v>
      </c>
      <c r="U6" s="210"/>
      <c r="V6" s="210"/>
      <c r="W6" s="210"/>
      <c r="X6" s="210">
        <v>100</v>
      </c>
      <c r="Y6" s="210"/>
      <c r="Z6" s="210"/>
      <c r="AA6" s="210"/>
      <c r="AB6" s="210"/>
      <c r="AC6" s="210"/>
    </row>
    <row r="7" spans="1:31"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8"/>
      <c r="T7" s="182" t="s">
        <v>11</v>
      </c>
      <c r="U7" s="182"/>
      <c r="V7" s="182" t="s">
        <v>12</v>
      </c>
      <c r="W7" s="182"/>
      <c r="X7" s="182" t="s">
        <v>13</v>
      </c>
      <c r="Y7" s="182"/>
      <c r="Z7" s="182"/>
      <c r="AA7" s="182"/>
      <c r="AB7" s="182" t="s">
        <v>14</v>
      </c>
      <c r="AC7" s="182"/>
    </row>
    <row r="8" spans="1:31">
      <c r="E8" s="183" t="s">
        <v>15</v>
      </c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4">
        <f>40*V15/200</f>
        <v>40</v>
      </c>
      <c r="U8" s="184"/>
      <c r="V8" s="184">
        <f t="shared" ref="V8:V13" si="0">T8</f>
        <v>40</v>
      </c>
      <c r="W8" s="184"/>
      <c r="X8" s="211">
        <v>4</v>
      </c>
      <c r="Y8" s="211"/>
      <c r="Z8" s="211"/>
      <c r="AA8" s="211"/>
      <c r="AB8" s="211">
        <v>4</v>
      </c>
      <c r="AC8" s="211"/>
      <c r="AD8" s="10">
        <v>37.5</v>
      </c>
      <c r="AE8" s="10">
        <f>AD8*T8/1000</f>
        <v>1.5</v>
      </c>
    </row>
    <row r="9" spans="1:31">
      <c r="E9" s="185" t="s">
        <v>16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7"/>
      <c r="T9" s="188">
        <f>140*V15/200</f>
        <v>140</v>
      </c>
      <c r="U9" s="189"/>
      <c r="V9" s="188">
        <f t="shared" si="0"/>
        <v>140</v>
      </c>
      <c r="W9" s="189"/>
      <c r="X9" s="212">
        <v>14</v>
      </c>
      <c r="Y9" s="213"/>
      <c r="Z9" s="213"/>
      <c r="AA9" s="214"/>
      <c r="AB9" s="212">
        <v>14</v>
      </c>
      <c r="AC9" s="214"/>
      <c r="AD9" s="10">
        <v>48.17</v>
      </c>
      <c r="AE9" s="10">
        <f t="shared" ref="AE9:AE13" si="1">AD9*T9/1000</f>
        <v>6.7438000000000002</v>
      </c>
    </row>
    <row r="10" spans="1:31">
      <c r="E10" s="3" t="s">
        <v>17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188">
        <f>60*V15/200</f>
        <v>60</v>
      </c>
      <c r="U10" s="189"/>
      <c r="V10" s="188">
        <f t="shared" si="0"/>
        <v>60</v>
      </c>
      <c r="W10" s="189"/>
      <c r="X10" s="212">
        <v>6</v>
      </c>
      <c r="Y10" s="213"/>
      <c r="Z10" s="213"/>
      <c r="AA10" s="214"/>
      <c r="AB10" s="212">
        <v>6</v>
      </c>
      <c r="AC10" s="214"/>
      <c r="AE10" s="10">
        <f t="shared" si="1"/>
        <v>0</v>
      </c>
    </row>
    <row r="11" spans="1:31">
      <c r="E11" s="185" t="s">
        <v>18</v>
      </c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7"/>
      <c r="T11" s="188">
        <f>5*V15/200</f>
        <v>5</v>
      </c>
      <c r="U11" s="189"/>
      <c r="V11" s="188">
        <f t="shared" si="0"/>
        <v>5</v>
      </c>
      <c r="W11" s="189"/>
      <c r="X11" s="212">
        <v>0.5</v>
      </c>
      <c r="Y11" s="213"/>
      <c r="Z11" s="213"/>
      <c r="AA11" s="214"/>
      <c r="AB11" s="212">
        <v>0.5</v>
      </c>
      <c r="AC11" s="214"/>
      <c r="AD11" s="10">
        <v>550</v>
      </c>
      <c r="AE11" s="10">
        <f t="shared" si="1"/>
        <v>2.75</v>
      </c>
    </row>
    <row r="12" spans="1:31">
      <c r="E12" s="185" t="s">
        <v>19</v>
      </c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7"/>
      <c r="T12" s="188">
        <f>0.3*V15/200</f>
        <v>0.3</v>
      </c>
      <c r="U12" s="189"/>
      <c r="V12" s="188">
        <f t="shared" si="0"/>
        <v>0.3</v>
      </c>
      <c r="W12" s="189"/>
      <c r="X12" s="212">
        <v>0.03</v>
      </c>
      <c r="Y12" s="213"/>
      <c r="Z12" s="213"/>
      <c r="AA12" s="214"/>
      <c r="AB12" s="212">
        <v>0.03</v>
      </c>
      <c r="AC12" s="214"/>
      <c r="AD12" s="10">
        <v>17</v>
      </c>
      <c r="AE12" s="10">
        <f t="shared" si="1"/>
        <v>5.0999999999999995E-3</v>
      </c>
    </row>
    <row r="13" spans="1:31">
      <c r="E13" s="3" t="s">
        <v>20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"/>
      <c r="T13" s="188">
        <f>4*V15/200</f>
        <v>4</v>
      </c>
      <c r="U13" s="189"/>
      <c r="V13" s="188">
        <f t="shared" si="0"/>
        <v>4</v>
      </c>
      <c r="W13" s="189"/>
      <c r="X13" s="212">
        <v>0.04</v>
      </c>
      <c r="Y13" s="213"/>
      <c r="Z13" s="213"/>
      <c r="AA13" s="214"/>
      <c r="AB13" s="212">
        <v>0.04</v>
      </c>
      <c r="AC13" s="214"/>
      <c r="AD13" s="10">
        <v>55</v>
      </c>
      <c r="AE13" s="10">
        <f t="shared" si="1"/>
        <v>0.22</v>
      </c>
    </row>
    <row r="14" spans="1:31">
      <c r="E14" s="185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7"/>
      <c r="T14" s="188"/>
      <c r="U14" s="189"/>
      <c r="V14" s="188"/>
      <c r="W14" s="189"/>
      <c r="X14" s="188"/>
      <c r="Y14" s="215"/>
      <c r="Z14" s="215"/>
      <c r="AA14" s="189"/>
      <c r="AB14" s="188"/>
      <c r="AC14" s="189"/>
    </row>
    <row r="15" spans="1:31">
      <c r="A15" s="23"/>
      <c r="E15" s="190" t="s">
        <v>21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1" t="s">
        <v>22</v>
      </c>
      <c r="U15" s="191"/>
      <c r="V15" s="192">
        <v>200</v>
      </c>
      <c r="W15" s="192"/>
      <c r="X15" s="191" t="s">
        <v>22</v>
      </c>
      <c r="Y15" s="191"/>
      <c r="Z15" s="191"/>
      <c r="AA15" s="191"/>
      <c r="AB15" s="191" t="s">
        <v>22</v>
      </c>
      <c r="AC15" s="191"/>
    </row>
    <row r="17" spans="1:31">
      <c r="C17" s="13" t="s">
        <v>8</v>
      </c>
      <c r="D17" s="1">
        <v>200</v>
      </c>
      <c r="E17" s="225" t="s">
        <v>9</v>
      </c>
      <c r="F17" s="225"/>
      <c r="G17" s="225"/>
      <c r="H17" s="225"/>
      <c r="I17" s="225" t="s">
        <v>9</v>
      </c>
      <c r="J17" s="225"/>
      <c r="K17" s="225"/>
      <c r="L17" s="225"/>
      <c r="M17" s="225" t="s">
        <v>9</v>
      </c>
      <c r="N17" s="225"/>
      <c r="O17" s="225"/>
      <c r="P17" s="225"/>
      <c r="Q17" s="10"/>
      <c r="R17" s="10"/>
      <c r="S17" s="10"/>
      <c r="T17" s="221" t="s">
        <v>10</v>
      </c>
      <c r="U17" s="221"/>
      <c r="V17" s="221"/>
      <c r="W17" s="221"/>
      <c r="X17" s="221"/>
      <c r="Y17" s="221"/>
      <c r="Z17" s="221"/>
      <c r="AA17" s="221"/>
      <c r="AE17" s="15">
        <f>AE20+AE21+AE22+AE23</f>
        <v>7.277000000000001</v>
      </c>
    </row>
    <row r="18" spans="1:31">
      <c r="E18" s="226"/>
      <c r="F18" s="227"/>
      <c r="G18" s="227"/>
      <c r="H18" s="227"/>
      <c r="I18" s="226"/>
      <c r="J18" s="227"/>
      <c r="K18" s="227"/>
      <c r="L18" s="227"/>
      <c r="M18" s="226"/>
      <c r="N18" s="227"/>
      <c r="O18" s="227"/>
      <c r="P18" s="227"/>
      <c r="Q18" s="10"/>
      <c r="R18" s="10"/>
      <c r="S18" s="10"/>
      <c r="T18" s="222">
        <v>1</v>
      </c>
      <c r="U18" s="222"/>
      <c r="V18" s="222"/>
      <c r="W18" s="222"/>
      <c r="X18" s="222">
        <v>100</v>
      </c>
      <c r="Y18" s="222"/>
      <c r="Z18" s="222"/>
      <c r="AA18" s="222"/>
    </row>
    <row r="19" spans="1:31">
      <c r="E19" s="228"/>
      <c r="F19" s="229"/>
      <c r="G19" s="229"/>
      <c r="H19" s="229"/>
      <c r="I19" s="228"/>
      <c r="J19" s="229"/>
      <c r="K19" s="229"/>
      <c r="L19" s="229"/>
      <c r="M19" s="228"/>
      <c r="N19" s="229"/>
      <c r="O19" s="229"/>
      <c r="P19" s="229"/>
      <c r="Q19" s="10"/>
      <c r="R19" s="10"/>
      <c r="S19" s="10"/>
      <c r="T19" s="223" t="s">
        <v>11</v>
      </c>
      <c r="U19" s="223"/>
      <c r="V19" s="223" t="s">
        <v>12</v>
      </c>
      <c r="W19" s="223"/>
      <c r="X19" s="223" t="s">
        <v>13</v>
      </c>
      <c r="Y19" s="223"/>
      <c r="Z19" s="223" t="s">
        <v>14</v>
      </c>
      <c r="AA19" s="223"/>
    </row>
    <row r="20" spans="1:31">
      <c r="E20" s="230" t="s">
        <v>24</v>
      </c>
      <c r="F20" s="230"/>
      <c r="G20" s="230"/>
      <c r="H20" s="230"/>
      <c r="I20" s="230" t="s">
        <v>24</v>
      </c>
      <c r="J20" s="230"/>
      <c r="K20" s="230"/>
      <c r="L20" s="230"/>
      <c r="M20" s="230" t="s">
        <v>24</v>
      </c>
      <c r="N20" s="230"/>
      <c r="O20" s="230"/>
      <c r="P20" s="230"/>
      <c r="Q20" s="10"/>
      <c r="R20" s="10"/>
      <c r="S20" s="10"/>
      <c r="T20" s="218">
        <f>4*V24/200</f>
        <v>4</v>
      </c>
      <c r="U20" s="218"/>
      <c r="V20" s="218">
        <f>T20</f>
        <v>4</v>
      </c>
      <c r="W20" s="218"/>
      <c r="X20" s="218">
        <f>T20*0.1</f>
        <v>0.4</v>
      </c>
      <c r="Y20" s="218"/>
      <c r="Z20" s="218">
        <f>V20*0.1</f>
        <v>0.4</v>
      </c>
      <c r="AA20" s="218"/>
      <c r="AD20" s="10">
        <v>340</v>
      </c>
      <c r="AE20" s="10">
        <f>T20*AD20/1000</f>
        <v>1.36</v>
      </c>
    </row>
    <row r="21" spans="1:31">
      <c r="E21" s="216" t="s">
        <v>16</v>
      </c>
      <c r="F21" s="217"/>
      <c r="G21" s="217"/>
      <c r="H21" s="217"/>
      <c r="I21" s="216" t="s">
        <v>16</v>
      </c>
      <c r="J21" s="217"/>
      <c r="K21" s="217"/>
      <c r="L21" s="217"/>
      <c r="M21" s="216" t="s">
        <v>16</v>
      </c>
      <c r="N21" s="217"/>
      <c r="O21" s="217"/>
      <c r="P21" s="217"/>
      <c r="Q21" s="10"/>
      <c r="R21" s="10"/>
      <c r="S21" s="10"/>
      <c r="T21" s="219">
        <f>100*V24/200</f>
        <v>100</v>
      </c>
      <c r="U21" s="220"/>
      <c r="V21" s="218">
        <f>T21</f>
        <v>100</v>
      </c>
      <c r="W21" s="218"/>
      <c r="X21" s="218">
        <f>T21*0.1</f>
        <v>10</v>
      </c>
      <c r="Y21" s="218"/>
      <c r="Z21" s="218">
        <f>V21*0.1</f>
        <v>10</v>
      </c>
      <c r="AA21" s="218"/>
      <c r="AD21" s="10">
        <v>48.17</v>
      </c>
      <c r="AE21" s="10">
        <f t="shared" ref="AE21:AE23" si="2">T21*AD21/1000</f>
        <v>4.8170000000000002</v>
      </c>
    </row>
    <row r="22" spans="1:31">
      <c r="E22" s="216" t="s">
        <v>17</v>
      </c>
      <c r="F22" s="217"/>
      <c r="G22" s="217"/>
      <c r="H22" s="217"/>
      <c r="I22" s="216" t="s">
        <v>17</v>
      </c>
      <c r="J22" s="217"/>
      <c r="K22" s="217"/>
      <c r="L22" s="217"/>
      <c r="M22" s="216" t="s">
        <v>17</v>
      </c>
      <c r="N22" s="217"/>
      <c r="O22" s="217"/>
      <c r="P22" s="217"/>
      <c r="Q22" s="10"/>
      <c r="R22" s="10"/>
      <c r="S22" s="10"/>
      <c r="T22" s="219">
        <f>110*V24/200</f>
        <v>110</v>
      </c>
      <c r="U22" s="220"/>
      <c r="V22" s="218">
        <f>T22</f>
        <v>110</v>
      </c>
      <c r="W22" s="218"/>
      <c r="X22" s="218">
        <f>T22*0.1</f>
        <v>11</v>
      </c>
      <c r="Y22" s="218"/>
      <c r="Z22" s="218">
        <f>V22*0.1</f>
        <v>11</v>
      </c>
      <c r="AA22" s="218"/>
      <c r="AE22" s="10">
        <f t="shared" si="2"/>
        <v>0</v>
      </c>
    </row>
    <row r="23" spans="1:31">
      <c r="E23" s="216" t="s">
        <v>25</v>
      </c>
      <c r="F23" s="217"/>
      <c r="G23" s="217"/>
      <c r="H23" s="217"/>
      <c r="I23" s="216" t="s">
        <v>25</v>
      </c>
      <c r="J23" s="217"/>
      <c r="K23" s="217"/>
      <c r="L23" s="217"/>
      <c r="M23" s="216" t="s">
        <v>25</v>
      </c>
      <c r="N23" s="217"/>
      <c r="O23" s="217"/>
      <c r="P23" s="217"/>
      <c r="Q23" s="10"/>
      <c r="R23" s="10"/>
      <c r="S23" s="10"/>
      <c r="T23" s="219">
        <f>20*V24/200</f>
        <v>20</v>
      </c>
      <c r="U23" s="220"/>
      <c r="V23" s="218">
        <f>T23</f>
        <v>20</v>
      </c>
      <c r="W23" s="218"/>
      <c r="X23" s="218">
        <f>T23*0.1</f>
        <v>2</v>
      </c>
      <c r="Y23" s="218"/>
      <c r="Z23" s="218">
        <f>V23*0.1</f>
        <v>2</v>
      </c>
      <c r="AA23" s="218"/>
      <c r="AD23" s="10">
        <v>55</v>
      </c>
      <c r="AE23" s="10">
        <f t="shared" si="2"/>
        <v>1.1000000000000001</v>
      </c>
    </row>
    <row r="24" spans="1:31">
      <c r="E24" s="224" t="s">
        <v>21</v>
      </c>
      <c r="F24" s="224"/>
      <c r="G24" s="224"/>
      <c r="H24" s="224"/>
      <c r="I24" s="224" t="s">
        <v>21</v>
      </c>
      <c r="J24" s="224"/>
      <c r="K24" s="224"/>
      <c r="L24" s="224"/>
      <c r="M24" s="224" t="s">
        <v>21</v>
      </c>
      <c r="N24" s="224"/>
      <c r="O24" s="224"/>
      <c r="P24" s="224"/>
      <c r="Q24" s="10"/>
      <c r="R24" s="10"/>
      <c r="S24" s="10"/>
      <c r="T24" s="231" t="s">
        <v>22</v>
      </c>
      <c r="U24" s="231"/>
      <c r="V24" s="232">
        <v>200</v>
      </c>
      <c r="W24" s="232"/>
      <c r="X24" s="231" t="s">
        <v>22</v>
      </c>
      <c r="Y24" s="231"/>
      <c r="Z24" s="231">
        <f>V24*0.1</f>
        <v>20</v>
      </c>
      <c r="AA24" s="231"/>
    </row>
    <row r="26" spans="1:31">
      <c r="C26" s="13" t="s">
        <v>26</v>
      </c>
      <c r="D26" s="1">
        <v>40</v>
      </c>
      <c r="AD26" s="10">
        <v>45.54</v>
      </c>
      <c r="AE26" s="15">
        <f>AD26*D26/1000</f>
        <v>1.8215999999999999</v>
      </c>
    </row>
    <row r="28" spans="1:31">
      <c r="A28" s="13" t="s">
        <v>27</v>
      </c>
      <c r="B28" s="13" t="s">
        <v>1</v>
      </c>
      <c r="C28" s="25" t="s">
        <v>28</v>
      </c>
      <c r="D28" s="74">
        <v>40</v>
      </c>
      <c r="AE28" s="18">
        <f>AE29+AE30+AE31+AE32</f>
        <v>1.9912000000000001</v>
      </c>
    </row>
    <row r="29" spans="1:31">
      <c r="B29" s="24">
        <f>AE28+AE34+AE38+AE48+AE54+AE61</f>
        <v>71.79592000000001</v>
      </c>
      <c r="C29" s="25"/>
      <c r="D29" s="74"/>
      <c r="E29" s="237" t="s">
        <v>31</v>
      </c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9"/>
      <c r="T29" s="233">
        <v>54</v>
      </c>
      <c r="U29" s="234"/>
      <c r="AD29" s="10">
        <v>30</v>
      </c>
      <c r="AE29" s="10">
        <f>AD29*T29/1000</f>
        <v>1.62</v>
      </c>
    </row>
    <row r="30" spans="1:31">
      <c r="C30" s="25"/>
      <c r="D30" s="74"/>
      <c r="E30" s="237" t="s">
        <v>32</v>
      </c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9"/>
      <c r="T30" s="233">
        <v>2.5</v>
      </c>
      <c r="U30" s="234"/>
      <c r="AD30" s="10">
        <v>140</v>
      </c>
      <c r="AE30" s="10">
        <f t="shared" ref="AE30:AE32" si="3">AD30*T30/1000</f>
        <v>0.35</v>
      </c>
    </row>
    <row r="31" spans="1:31">
      <c r="C31" s="25"/>
      <c r="D31" s="74"/>
      <c r="E31" s="237" t="s">
        <v>19</v>
      </c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9"/>
      <c r="T31" s="233">
        <v>0.6</v>
      </c>
      <c r="U31" s="234"/>
      <c r="AD31" s="10">
        <v>17</v>
      </c>
      <c r="AE31" s="10">
        <f t="shared" si="3"/>
        <v>1.0199999999999999E-2</v>
      </c>
    </row>
    <row r="32" spans="1:31">
      <c r="C32" s="25"/>
      <c r="D32" s="74"/>
      <c r="E32" s="237" t="s">
        <v>20</v>
      </c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9"/>
      <c r="T32" s="235">
        <v>0.2</v>
      </c>
      <c r="U32" s="236"/>
      <c r="AD32" s="10">
        <v>55</v>
      </c>
      <c r="AE32" s="10">
        <f t="shared" si="3"/>
        <v>1.0999999999999999E-2</v>
      </c>
    </row>
    <row r="33" spans="3:31" s="1" customFormat="1">
      <c r="C33" s="25"/>
      <c r="D33" s="7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20"/>
      <c r="AD33" s="10"/>
      <c r="AE33" s="10"/>
    </row>
    <row r="34" spans="3:31" s="1" customFormat="1">
      <c r="C34" s="25" t="s">
        <v>189</v>
      </c>
      <c r="D34" s="7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20">
        <v>20</v>
      </c>
      <c r="AD34" s="10">
        <v>140</v>
      </c>
      <c r="AE34" s="75">
        <f>U34*AD34/1000</f>
        <v>2.8</v>
      </c>
    </row>
    <row r="35" spans="3:31" s="1" customFormat="1">
      <c r="C35" s="1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20"/>
      <c r="AD35" s="10"/>
      <c r="AE35" s="10"/>
    </row>
    <row r="36" spans="3:31" s="1" customFormat="1">
      <c r="C36" s="13" t="s">
        <v>30</v>
      </c>
      <c r="D36" s="1">
        <v>40</v>
      </c>
      <c r="T36" s="1">
        <v>42</v>
      </c>
      <c r="AD36" s="10">
        <v>150</v>
      </c>
      <c r="AE36" s="18">
        <f>AD36*T36/1000</f>
        <v>6.3</v>
      </c>
    </row>
    <row r="37" spans="3:31" s="1" customFormat="1">
      <c r="C37" s="13"/>
      <c r="AD37" s="10"/>
      <c r="AE37" s="21"/>
    </row>
    <row r="38" spans="3:31" s="1" customFormat="1">
      <c r="C38" s="13" t="s">
        <v>33</v>
      </c>
      <c r="D38" s="1">
        <v>90</v>
      </c>
      <c r="T38" s="222">
        <v>1</v>
      </c>
      <c r="U38" s="222"/>
      <c r="V38" s="222"/>
      <c r="W38" s="222"/>
      <c r="AD38" s="10"/>
      <c r="AE38" s="18">
        <f>SUM(AE40:AE45)</f>
        <v>53.50412</v>
      </c>
    </row>
    <row r="39" spans="3:31" s="1" customFormat="1">
      <c r="C39" s="13"/>
      <c r="T39" s="223" t="s">
        <v>11</v>
      </c>
      <c r="U39" s="223"/>
      <c r="V39" s="223" t="s">
        <v>12</v>
      </c>
      <c r="W39" s="223"/>
      <c r="AD39" s="10"/>
      <c r="AE39" s="10"/>
    </row>
    <row r="40" spans="3:31" s="1" customFormat="1">
      <c r="C40" s="13"/>
      <c r="E40" s="183" t="s">
        <v>34</v>
      </c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243">
        <v>90</v>
      </c>
      <c r="U40" s="244"/>
      <c r="V40" s="243">
        <v>66</v>
      </c>
      <c r="W40" s="244"/>
      <c r="AD40" s="10">
        <v>548</v>
      </c>
      <c r="AE40" s="10">
        <f>T40*AD40/1000</f>
        <v>49.32</v>
      </c>
    </row>
    <row r="41" spans="3:31" s="1" customFormat="1">
      <c r="C41" s="13"/>
      <c r="E41" s="185" t="s">
        <v>35</v>
      </c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7"/>
      <c r="T41" s="188">
        <v>17</v>
      </c>
      <c r="U41" s="189"/>
      <c r="V41" s="188">
        <v>17</v>
      </c>
      <c r="W41" s="189"/>
      <c r="AD41" s="10">
        <v>45.54</v>
      </c>
      <c r="AE41" s="10">
        <f t="shared" ref="AE41:AE45" si="4">T41*AD41/1000</f>
        <v>0.77417999999999998</v>
      </c>
    </row>
    <row r="42" spans="3:31" s="1" customFormat="1">
      <c r="C42" s="13"/>
      <c r="E42" s="185" t="s">
        <v>16</v>
      </c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7"/>
      <c r="T42" s="188">
        <v>22</v>
      </c>
      <c r="U42" s="189"/>
      <c r="V42" s="188">
        <v>22</v>
      </c>
      <c r="W42" s="189"/>
      <c r="AD42" s="10">
        <v>48.17</v>
      </c>
      <c r="AE42" s="10">
        <f t="shared" si="4"/>
        <v>1.0597399999999999</v>
      </c>
    </row>
    <row r="43" spans="3:31" s="1" customFormat="1">
      <c r="C43" s="13"/>
      <c r="E43" s="185" t="s">
        <v>36</v>
      </c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7"/>
      <c r="T43" s="188">
        <v>10</v>
      </c>
      <c r="U43" s="189"/>
      <c r="V43" s="188">
        <v>10</v>
      </c>
      <c r="W43" s="189"/>
      <c r="AD43" s="10">
        <v>150</v>
      </c>
      <c r="AE43" s="10">
        <f t="shared" si="4"/>
        <v>1.5</v>
      </c>
    </row>
    <row r="44" spans="3:31" s="1" customFormat="1">
      <c r="C44" s="13"/>
      <c r="E44" s="185" t="s">
        <v>32</v>
      </c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7"/>
      <c r="T44" s="193">
        <v>6</v>
      </c>
      <c r="U44" s="194"/>
      <c r="V44" s="188">
        <v>6</v>
      </c>
      <c r="W44" s="189"/>
      <c r="AD44" s="10">
        <v>140</v>
      </c>
      <c r="AE44" s="10">
        <f t="shared" si="4"/>
        <v>0.84</v>
      </c>
    </row>
    <row r="45" spans="3:31" s="1" customFormat="1">
      <c r="C45" s="13"/>
      <c r="E45" s="183" t="s">
        <v>19</v>
      </c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245">
        <v>0.6</v>
      </c>
      <c r="U45" s="246"/>
      <c r="V45" s="245">
        <v>0.6</v>
      </c>
      <c r="W45" s="246"/>
      <c r="AD45" s="10">
        <v>17</v>
      </c>
      <c r="AE45" s="10">
        <f t="shared" si="4"/>
        <v>1.0199999999999999E-2</v>
      </c>
    </row>
    <row r="46" spans="3:31" s="1" customFormat="1">
      <c r="C46" s="13"/>
      <c r="E46" s="190" t="s">
        <v>21</v>
      </c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247" t="s">
        <v>22</v>
      </c>
      <c r="U46" s="248"/>
      <c r="V46" s="249">
        <v>90</v>
      </c>
      <c r="W46" s="250"/>
      <c r="AD46" s="10"/>
      <c r="AE46" s="10"/>
    </row>
    <row r="48" spans="3:31" s="1" customFormat="1">
      <c r="C48" s="13" t="s">
        <v>37</v>
      </c>
      <c r="D48" s="1">
        <v>150</v>
      </c>
      <c r="T48" s="182" t="s">
        <v>11</v>
      </c>
      <c r="U48" s="182"/>
      <c r="V48" s="182" t="s">
        <v>12</v>
      </c>
      <c r="W48" s="182"/>
      <c r="AD48" s="10"/>
      <c r="AE48" s="18">
        <f>AE49+AE50+AE51</f>
        <v>4.5170000000000003</v>
      </c>
    </row>
    <row r="49" spans="1:31">
      <c r="E49" s="183" t="s">
        <v>38</v>
      </c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4">
        <v>38</v>
      </c>
      <c r="U49" s="184"/>
      <c r="V49" s="184">
        <v>38</v>
      </c>
      <c r="W49" s="184"/>
      <c r="AD49" s="10">
        <v>75</v>
      </c>
      <c r="AE49" s="10">
        <f>AD49*T49/1000</f>
        <v>2.85</v>
      </c>
    </row>
    <row r="50" spans="1:31">
      <c r="E50" s="240" t="s">
        <v>18</v>
      </c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2"/>
      <c r="T50" s="188">
        <v>3</v>
      </c>
      <c r="U50" s="189"/>
      <c r="V50" s="188">
        <v>3</v>
      </c>
      <c r="W50" s="189"/>
      <c r="AD50" s="10">
        <v>550</v>
      </c>
      <c r="AE50" s="10">
        <f t="shared" ref="AE50:AE51" si="5">AD50*T50/1000</f>
        <v>1.65</v>
      </c>
    </row>
    <row r="51" spans="1:31">
      <c r="E51" s="183" t="s">
        <v>19</v>
      </c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4">
        <v>1</v>
      </c>
      <c r="U51" s="184"/>
      <c r="V51" s="184">
        <v>1</v>
      </c>
      <c r="W51" s="184"/>
      <c r="AD51" s="10">
        <v>17</v>
      </c>
      <c r="AE51" s="10">
        <f t="shared" si="5"/>
        <v>1.7000000000000001E-2</v>
      </c>
    </row>
    <row r="52" spans="1:31">
      <c r="E52" s="190" t="s">
        <v>21</v>
      </c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1" t="s">
        <v>22</v>
      </c>
      <c r="U52" s="191"/>
      <c r="V52" s="192">
        <v>150</v>
      </c>
      <c r="W52" s="192"/>
    </row>
    <row r="54" spans="1:31">
      <c r="C54" s="13" t="s">
        <v>39</v>
      </c>
      <c r="D54" s="1">
        <v>200</v>
      </c>
      <c r="T54" s="182" t="s">
        <v>11</v>
      </c>
      <c r="U54" s="182"/>
      <c r="V54" s="182" t="s">
        <v>12</v>
      </c>
      <c r="W54" s="182"/>
      <c r="AE54" s="18">
        <f>SUM(AE55:AE58)</f>
        <v>7.1619999999999999</v>
      </c>
    </row>
    <row r="55" spans="1:31">
      <c r="E55" s="183" t="s">
        <v>40</v>
      </c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4">
        <v>4</v>
      </c>
      <c r="U55" s="184"/>
      <c r="V55" s="184">
        <v>4</v>
      </c>
      <c r="W55" s="184"/>
      <c r="AD55" s="10">
        <v>380</v>
      </c>
      <c r="AE55" s="10">
        <f>AD55*T55/1000</f>
        <v>1.52</v>
      </c>
    </row>
    <row r="56" spans="1:31">
      <c r="E56" s="185" t="s">
        <v>20</v>
      </c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7"/>
      <c r="T56" s="188">
        <v>15</v>
      </c>
      <c r="U56" s="189"/>
      <c r="V56" s="188">
        <v>15</v>
      </c>
      <c r="W56" s="189"/>
      <c r="AD56" s="10">
        <v>55</v>
      </c>
      <c r="AE56" s="10">
        <f t="shared" ref="AE56:AE58" si="6">AD56*T56/1000</f>
        <v>0.82499999999999996</v>
      </c>
    </row>
    <row r="57" spans="1:31">
      <c r="E57" s="185" t="s">
        <v>41</v>
      </c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7"/>
      <c r="T57" s="188">
        <v>100</v>
      </c>
      <c r="U57" s="189"/>
      <c r="V57" s="188">
        <v>100</v>
      </c>
      <c r="W57" s="189"/>
      <c r="AD57" s="10">
        <v>48.17</v>
      </c>
      <c r="AE57" s="10">
        <f t="shared" si="6"/>
        <v>4.8170000000000002</v>
      </c>
    </row>
    <row r="58" spans="1:31">
      <c r="E58" s="185" t="s">
        <v>17</v>
      </c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7"/>
      <c r="T58" s="188">
        <v>81</v>
      </c>
      <c r="U58" s="189"/>
      <c r="V58" s="188">
        <v>81</v>
      </c>
      <c r="W58" s="189"/>
      <c r="AD58" s="10">
        <v>0</v>
      </c>
      <c r="AE58" s="10">
        <f t="shared" si="6"/>
        <v>0</v>
      </c>
    </row>
    <row r="59" spans="1:31">
      <c r="E59" s="190" t="s">
        <v>21</v>
      </c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1" t="s">
        <v>22</v>
      </c>
      <c r="U59" s="191"/>
      <c r="V59" s="192">
        <v>200</v>
      </c>
      <c r="W59" s="192"/>
    </row>
    <row r="61" spans="1:31">
      <c r="C61" s="13" t="s">
        <v>26</v>
      </c>
      <c r="D61" s="1">
        <v>40</v>
      </c>
      <c r="AD61" s="10">
        <v>45.54</v>
      </c>
      <c r="AE61" s="18">
        <f>AD61*D61/1000</f>
        <v>1.8215999999999999</v>
      </c>
    </row>
    <row r="63" spans="1:31">
      <c r="A63" s="13" t="s">
        <v>43</v>
      </c>
      <c r="B63" s="13" t="s">
        <v>1</v>
      </c>
    </row>
    <row r="64" spans="1:31">
      <c r="B64" s="25">
        <f>AE64+AE70+AE74+AE88+AE93</f>
        <v>36.879654999999993</v>
      </c>
      <c r="C64" s="13" t="s">
        <v>44</v>
      </c>
      <c r="D64" s="1">
        <v>60</v>
      </c>
      <c r="T64" s="182" t="s">
        <v>11</v>
      </c>
      <c r="U64" s="182"/>
      <c r="V64" s="182" t="s">
        <v>12</v>
      </c>
      <c r="W64" s="182"/>
      <c r="AE64" s="26">
        <f>AE65+AE66+AE67</f>
        <v>3.0635999999999997</v>
      </c>
    </row>
    <row r="65" spans="3:31" s="1" customFormat="1">
      <c r="C65" s="13"/>
      <c r="E65" s="183" t="s">
        <v>45</v>
      </c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4">
        <v>56.3</v>
      </c>
      <c r="U65" s="184"/>
      <c r="V65" s="184">
        <v>45</v>
      </c>
      <c r="W65" s="184"/>
      <c r="AD65" s="10">
        <v>30</v>
      </c>
      <c r="AE65" s="10">
        <f>T65*AD65/1000</f>
        <v>1.6890000000000001</v>
      </c>
    </row>
    <row r="66" spans="3:31" s="1" customFormat="1">
      <c r="C66" s="13"/>
      <c r="E66" s="183" t="s">
        <v>46</v>
      </c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4">
        <v>21.5</v>
      </c>
      <c r="U66" s="184"/>
      <c r="V66" s="184">
        <v>15</v>
      </c>
      <c r="W66" s="184"/>
      <c r="AD66" s="10">
        <v>62.4</v>
      </c>
      <c r="AE66" s="10">
        <f t="shared" ref="AE66:AE67" si="7">T66*AD66/1000</f>
        <v>1.3415999999999999</v>
      </c>
    </row>
    <row r="67" spans="3:31" s="1" customFormat="1">
      <c r="C67" s="13"/>
      <c r="E67" s="183" t="s">
        <v>20</v>
      </c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4">
        <v>0.6</v>
      </c>
      <c r="U67" s="184"/>
      <c r="V67" s="184">
        <v>0.6</v>
      </c>
      <c r="W67" s="184"/>
      <c r="AD67" s="10">
        <v>55</v>
      </c>
      <c r="AE67" s="10">
        <f t="shared" si="7"/>
        <v>3.3000000000000002E-2</v>
      </c>
    </row>
    <row r="68" spans="3:31" s="1" customFormat="1">
      <c r="C68" s="13"/>
      <c r="E68" s="190" t="s">
        <v>21</v>
      </c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1" t="s">
        <v>22</v>
      </c>
      <c r="U68" s="191"/>
      <c r="V68" s="192">
        <v>60</v>
      </c>
      <c r="W68" s="192"/>
      <c r="AD68" s="10"/>
      <c r="AE68" s="10"/>
    </row>
    <row r="70" spans="3:31" s="1" customFormat="1">
      <c r="C70" s="13" t="s">
        <v>47</v>
      </c>
      <c r="D70" s="1">
        <v>20</v>
      </c>
      <c r="T70" s="182" t="s">
        <v>11</v>
      </c>
      <c r="U70" s="182"/>
      <c r="V70" s="182" t="s">
        <v>12</v>
      </c>
      <c r="W70" s="182"/>
      <c r="AD70" s="10"/>
      <c r="AE70" s="26">
        <f>AE71</f>
        <v>0</v>
      </c>
    </row>
    <row r="71" spans="3:31" s="1" customFormat="1">
      <c r="C71" s="13"/>
      <c r="E71" s="183" t="s">
        <v>48</v>
      </c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4">
        <v>20</v>
      </c>
      <c r="U71" s="184"/>
      <c r="V71" s="184">
        <v>20</v>
      </c>
      <c r="W71" s="184"/>
      <c r="AD71" s="10"/>
      <c r="AE71" s="10">
        <f>T71*AD71/1000</f>
        <v>0</v>
      </c>
    </row>
    <row r="72" spans="3:31" s="1" customFormat="1">
      <c r="C72" s="13"/>
      <c r="T72" s="191" t="s">
        <v>22</v>
      </c>
      <c r="U72" s="191"/>
      <c r="V72" s="192">
        <v>20</v>
      </c>
      <c r="W72" s="192"/>
      <c r="AD72" s="10"/>
      <c r="AE72" s="10"/>
    </row>
    <row r="74" spans="3:31" s="1" customFormat="1">
      <c r="C74" s="13" t="s">
        <v>49</v>
      </c>
      <c r="D74" s="1">
        <v>170</v>
      </c>
      <c r="T74" s="182" t="s">
        <v>11</v>
      </c>
      <c r="U74" s="182"/>
      <c r="V74" s="182" t="s">
        <v>12</v>
      </c>
      <c r="W74" s="182"/>
      <c r="AD74" s="10"/>
      <c r="AE74" s="26">
        <f>AE75+AE76+AE77+AE78+AE79+AE80+AE81+AE82+AE83+AE84+AE85</f>
        <v>30.525454999999997</v>
      </c>
    </row>
    <row r="75" spans="3:31" s="1" customFormat="1">
      <c r="C75" s="13"/>
      <c r="E75" s="183" t="s">
        <v>50</v>
      </c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4">
        <f>120*V86/200</f>
        <v>102</v>
      </c>
      <c r="U75" s="184"/>
      <c r="V75" s="184">
        <f>T75</f>
        <v>102</v>
      </c>
      <c r="W75" s="184"/>
      <c r="AD75" s="10">
        <v>239.45</v>
      </c>
      <c r="AE75" s="10">
        <f>AD75*T75/1000</f>
        <v>24.423899999999996</v>
      </c>
    </row>
    <row r="76" spans="3:31" s="1" customFormat="1">
      <c r="C76" s="13"/>
      <c r="E76" s="185" t="s">
        <v>51</v>
      </c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7"/>
      <c r="T76" s="188">
        <f>24*V86/200</f>
        <v>20.399999999999999</v>
      </c>
      <c r="U76" s="189"/>
      <c r="V76" s="184">
        <f t="shared" ref="V76:V85" si="8">T76</f>
        <v>20.399999999999999</v>
      </c>
      <c r="W76" s="184"/>
      <c r="AD76" s="10">
        <v>44</v>
      </c>
      <c r="AE76" s="10">
        <f t="shared" ref="AE76:AE85" si="9">AD76*T76/1000</f>
        <v>0.89759999999999995</v>
      </c>
    </row>
    <row r="77" spans="3:31" s="1" customFormat="1">
      <c r="C77" s="13"/>
      <c r="E77" s="185" t="s">
        <v>16</v>
      </c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7"/>
      <c r="T77" s="188">
        <f>40*V86/200</f>
        <v>34</v>
      </c>
      <c r="U77" s="189"/>
      <c r="V77" s="184">
        <f t="shared" si="8"/>
        <v>34</v>
      </c>
      <c r="W77" s="184"/>
      <c r="AD77" s="10">
        <v>48.17</v>
      </c>
      <c r="AE77" s="10">
        <f t="shared" si="9"/>
        <v>1.63778</v>
      </c>
    </row>
    <row r="78" spans="3:31" s="1" customFormat="1">
      <c r="C78" s="13"/>
      <c r="E78" s="253" t="s">
        <v>52</v>
      </c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5"/>
      <c r="T78" s="251">
        <f>10*V86/200</f>
        <v>8.5</v>
      </c>
      <c r="U78" s="252"/>
      <c r="V78" s="197">
        <f t="shared" si="8"/>
        <v>8.5</v>
      </c>
      <c r="W78" s="197"/>
      <c r="X78" s="30"/>
      <c r="Y78" s="30"/>
      <c r="Z78" s="30"/>
      <c r="AA78" s="30"/>
      <c r="AB78" s="30"/>
      <c r="AC78" s="30"/>
      <c r="AD78" s="31">
        <v>140</v>
      </c>
      <c r="AE78" s="10">
        <f>AD78*T78/1000</f>
        <v>1.19</v>
      </c>
    </row>
    <row r="79" spans="3:31" s="1" customFormat="1">
      <c r="C79" s="13"/>
      <c r="E79" s="185" t="s">
        <v>20</v>
      </c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7"/>
      <c r="T79" s="193">
        <f>12*V86/200</f>
        <v>10.199999999999999</v>
      </c>
      <c r="U79" s="194"/>
      <c r="V79" s="184">
        <f t="shared" si="8"/>
        <v>10.199999999999999</v>
      </c>
      <c r="W79" s="184"/>
      <c r="AD79" s="10">
        <v>55</v>
      </c>
      <c r="AE79" s="10">
        <f t="shared" si="9"/>
        <v>0.56100000000000005</v>
      </c>
    </row>
    <row r="80" spans="3:31" s="1" customFormat="1">
      <c r="C80" s="13"/>
      <c r="E80" s="185" t="s">
        <v>18</v>
      </c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7"/>
      <c r="T80" s="188">
        <f>2*V86/200</f>
        <v>1.7</v>
      </c>
      <c r="U80" s="189"/>
      <c r="V80" s="184">
        <f t="shared" si="8"/>
        <v>1.7</v>
      </c>
      <c r="W80" s="184"/>
      <c r="AD80" s="10">
        <v>550</v>
      </c>
      <c r="AE80" s="10">
        <f t="shared" si="9"/>
        <v>0.93500000000000005</v>
      </c>
    </row>
    <row r="81" spans="1:31">
      <c r="E81" s="185" t="s">
        <v>53</v>
      </c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7"/>
      <c r="T81" s="212">
        <f>0.03*V86/200</f>
        <v>2.5499999999999998E-2</v>
      </c>
      <c r="U81" s="214"/>
      <c r="V81" s="184">
        <f t="shared" si="8"/>
        <v>2.5499999999999998E-2</v>
      </c>
      <c r="W81" s="184"/>
      <c r="AD81" s="10">
        <v>1200</v>
      </c>
      <c r="AE81" s="10">
        <f t="shared" si="9"/>
        <v>3.0599999999999999E-2</v>
      </c>
    </row>
    <row r="82" spans="1:31">
      <c r="E82" s="185" t="s">
        <v>54</v>
      </c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7"/>
      <c r="T82" s="188">
        <f>4*V86/200</f>
        <v>3.4</v>
      </c>
      <c r="U82" s="189"/>
      <c r="V82" s="184">
        <f t="shared" si="8"/>
        <v>3.4</v>
      </c>
      <c r="W82" s="184"/>
      <c r="AD82" s="10">
        <v>173.6</v>
      </c>
      <c r="AE82" s="10">
        <f t="shared" si="9"/>
        <v>0.59023999999999999</v>
      </c>
    </row>
    <row r="83" spans="1:31">
      <c r="E83" s="185" t="s">
        <v>55</v>
      </c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7"/>
      <c r="T83" s="188">
        <f>2*V86/200</f>
        <v>1.7</v>
      </c>
      <c r="U83" s="189"/>
      <c r="V83" s="184">
        <f t="shared" si="8"/>
        <v>1.7</v>
      </c>
      <c r="W83" s="184"/>
      <c r="AD83" s="10">
        <v>150</v>
      </c>
      <c r="AE83" s="10">
        <f t="shared" si="9"/>
        <v>0.255</v>
      </c>
    </row>
    <row r="84" spans="1:31">
      <c r="E84" s="185" t="s">
        <v>56</v>
      </c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7"/>
      <c r="T84" s="188">
        <f>3*V86/200</f>
        <v>2.5499999999999998</v>
      </c>
      <c r="U84" s="189"/>
      <c r="V84" s="184">
        <f t="shared" si="8"/>
        <v>2.5499999999999998</v>
      </c>
      <c r="W84" s="184"/>
      <c r="AD84" s="32"/>
      <c r="AE84" s="10">
        <f t="shared" si="9"/>
        <v>0</v>
      </c>
    </row>
    <row r="85" spans="1:31">
      <c r="E85" s="183" t="s">
        <v>19</v>
      </c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4">
        <f>0.3*V86/200</f>
        <v>0.255</v>
      </c>
      <c r="U85" s="184"/>
      <c r="V85" s="184">
        <f t="shared" si="8"/>
        <v>0.255</v>
      </c>
      <c r="W85" s="184"/>
      <c r="AD85" s="10">
        <v>17</v>
      </c>
      <c r="AE85" s="10">
        <f t="shared" si="9"/>
        <v>4.3350000000000003E-3</v>
      </c>
    </row>
    <row r="86" spans="1:31">
      <c r="E86" s="190" t="s">
        <v>21</v>
      </c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1" t="s">
        <v>22</v>
      </c>
      <c r="U86" s="191"/>
      <c r="V86" s="192">
        <v>170</v>
      </c>
      <c r="W86" s="192"/>
    </row>
    <row r="88" spans="1:31">
      <c r="C88" s="13" t="s">
        <v>57</v>
      </c>
      <c r="D88" s="1">
        <v>200</v>
      </c>
      <c r="T88" s="182" t="s">
        <v>11</v>
      </c>
      <c r="U88" s="182"/>
      <c r="V88" s="182" t="s">
        <v>12</v>
      </c>
      <c r="W88" s="182"/>
      <c r="AE88" s="26">
        <f>AE89+AE90</f>
        <v>1.125</v>
      </c>
    </row>
    <row r="89" spans="1:31">
      <c r="E89" s="183" t="s">
        <v>58</v>
      </c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4">
        <v>0.6</v>
      </c>
      <c r="U89" s="184"/>
      <c r="V89" s="184">
        <v>0.6</v>
      </c>
      <c r="W89" s="184"/>
      <c r="AD89" s="10">
        <v>500</v>
      </c>
      <c r="AE89" s="10">
        <f>T89*AD89/1000</f>
        <v>0.3</v>
      </c>
    </row>
    <row r="90" spans="1:31">
      <c r="E90" s="185" t="s">
        <v>20</v>
      </c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7"/>
      <c r="T90" s="188">
        <v>15</v>
      </c>
      <c r="U90" s="189"/>
      <c r="V90" s="188">
        <v>15</v>
      </c>
      <c r="W90" s="189"/>
      <c r="AD90" s="10">
        <v>55</v>
      </c>
      <c r="AE90" s="10">
        <f>T90*AD90/1000</f>
        <v>0.82499999999999996</v>
      </c>
    </row>
    <row r="91" spans="1:31">
      <c r="E91" s="190" t="s">
        <v>21</v>
      </c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1" t="s">
        <v>22</v>
      </c>
      <c r="U91" s="191"/>
      <c r="V91" s="192">
        <v>200</v>
      </c>
      <c r="W91" s="192"/>
    </row>
    <row r="93" spans="1:31">
      <c r="C93" s="13" t="s">
        <v>59</v>
      </c>
      <c r="D93" s="1">
        <v>40</v>
      </c>
      <c r="AD93" s="10">
        <v>54.14</v>
      </c>
      <c r="AE93" s="26">
        <f>D93*AD93/1000</f>
        <v>2.1656</v>
      </c>
    </row>
    <row r="95" spans="1:31">
      <c r="A95" s="13" t="s">
        <v>60</v>
      </c>
      <c r="B95" s="13" t="s">
        <v>1</v>
      </c>
      <c r="C95" s="13" t="s">
        <v>61</v>
      </c>
      <c r="D95" s="1">
        <v>100</v>
      </c>
      <c r="AD95" s="34">
        <v>200</v>
      </c>
      <c r="AE95" s="22">
        <f>D95*AD95/1000</f>
        <v>20</v>
      </c>
    </row>
    <row r="96" spans="1:31">
      <c r="B96" s="27">
        <f>AE98+AE95+AE109+AE115+AE121</f>
        <v>73.277209999999997</v>
      </c>
    </row>
    <row r="98" spans="3:31" s="1" customFormat="1">
      <c r="C98" s="13" t="s">
        <v>62</v>
      </c>
      <c r="D98" s="1">
        <v>90</v>
      </c>
      <c r="T98" s="182" t="s">
        <v>11</v>
      </c>
      <c r="U98" s="182"/>
      <c r="V98" s="182" t="s">
        <v>12</v>
      </c>
      <c r="W98" s="182"/>
      <c r="AD98" s="10"/>
      <c r="AE98" s="22">
        <f>SUM(AE99:AE106)</f>
        <v>44.220509999999997</v>
      </c>
    </row>
    <row r="99" spans="3:31" s="1" customFormat="1">
      <c r="C99" s="13"/>
      <c r="E99" s="183" t="s">
        <v>63</v>
      </c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4">
        <f>85*V107/100</f>
        <v>76.5</v>
      </c>
      <c r="U99" s="184"/>
      <c r="V99" s="184">
        <f>74.4*V107/100</f>
        <v>66.960000000000008</v>
      </c>
      <c r="W99" s="184"/>
      <c r="AD99" s="10">
        <v>548</v>
      </c>
      <c r="AE99" s="10">
        <f>T99*AD99/1000</f>
        <v>41.921999999999997</v>
      </c>
    </row>
    <row r="100" spans="3:31" s="1" customFormat="1">
      <c r="C100" s="13"/>
      <c r="E100" s="185" t="s">
        <v>38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8">
        <f>3*V107/100</f>
        <v>2.7</v>
      </c>
      <c r="U100" s="189"/>
      <c r="V100" s="188">
        <f>T100</f>
        <v>2.7</v>
      </c>
      <c r="W100" s="189"/>
      <c r="AD100" s="10">
        <v>75</v>
      </c>
      <c r="AE100" s="10">
        <f t="shared" ref="AE100:AE106" si="10">T100*AD100/1000</f>
        <v>0.20250000000000001</v>
      </c>
    </row>
    <row r="101" spans="3:31" s="1" customFormat="1">
      <c r="C101" s="13"/>
      <c r="E101" s="253" t="s">
        <v>64</v>
      </c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5"/>
      <c r="T101" s="251">
        <f>3.6*V107/100</f>
        <v>3.24</v>
      </c>
      <c r="U101" s="252"/>
      <c r="V101" s="251">
        <f>T101</f>
        <v>3.24</v>
      </c>
      <c r="W101" s="252"/>
      <c r="X101" s="30"/>
      <c r="Y101" s="30"/>
      <c r="Z101" s="30"/>
      <c r="AA101" s="30"/>
      <c r="AB101" s="30"/>
      <c r="AC101" s="30"/>
      <c r="AD101" s="31">
        <v>140</v>
      </c>
      <c r="AE101" s="10">
        <f t="shared" si="10"/>
        <v>0.4536</v>
      </c>
    </row>
    <row r="102" spans="3:31" s="1" customFormat="1">
      <c r="C102" s="13"/>
      <c r="E102" s="185" t="s">
        <v>65</v>
      </c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7"/>
      <c r="T102" s="188">
        <f>11*V107/100</f>
        <v>9.9</v>
      </c>
      <c r="U102" s="189"/>
      <c r="V102" s="188">
        <f>9.6*V107/100</f>
        <v>8.64</v>
      </c>
      <c r="W102" s="189"/>
      <c r="AD102" s="10">
        <v>30</v>
      </c>
      <c r="AE102" s="10">
        <f t="shared" si="10"/>
        <v>0.29699999999999999</v>
      </c>
    </row>
    <row r="103" spans="3:31" s="1" customFormat="1">
      <c r="C103" s="13"/>
      <c r="E103" s="185" t="s">
        <v>66</v>
      </c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7"/>
      <c r="T103" s="188">
        <f>5.3*V107/100</f>
        <v>4.7699999999999996</v>
      </c>
      <c r="U103" s="189"/>
      <c r="V103" s="188">
        <f>4.8*V107/100</f>
        <v>4.32</v>
      </c>
      <c r="W103" s="189"/>
      <c r="AD103" s="10">
        <v>20</v>
      </c>
      <c r="AE103" s="10">
        <f t="shared" si="10"/>
        <v>9.5399999999999985E-2</v>
      </c>
    </row>
    <row r="104" spans="3:31" s="1" customFormat="1">
      <c r="C104" s="13"/>
      <c r="E104" s="185" t="s">
        <v>41</v>
      </c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7"/>
      <c r="T104" s="188">
        <f>20*V107/100</f>
        <v>18</v>
      </c>
      <c r="U104" s="189"/>
      <c r="V104" s="188">
        <f>20*V107/100</f>
        <v>18</v>
      </c>
      <c r="W104" s="189"/>
      <c r="AD104" s="10">
        <v>48.19</v>
      </c>
      <c r="AE104" s="10">
        <f t="shared" si="10"/>
        <v>0.86741999999999997</v>
      </c>
    </row>
    <row r="105" spans="3:31" s="1" customFormat="1">
      <c r="C105" s="13"/>
      <c r="E105" s="240" t="s">
        <v>67</v>
      </c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2"/>
      <c r="T105" s="188">
        <f>3*V107/100</f>
        <v>2.7</v>
      </c>
      <c r="U105" s="189"/>
      <c r="V105" s="188">
        <f>3*V107/100</f>
        <v>2.7</v>
      </c>
      <c r="W105" s="189"/>
      <c r="AD105" s="10">
        <v>140</v>
      </c>
      <c r="AE105" s="10">
        <f t="shared" si="10"/>
        <v>0.378</v>
      </c>
    </row>
    <row r="106" spans="3:31" s="1" customFormat="1">
      <c r="C106" s="13"/>
      <c r="E106" s="183" t="s">
        <v>19</v>
      </c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4">
        <f>0.3*V107/100</f>
        <v>0.27</v>
      </c>
      <c r="U106" s="184"/>
      <c r="V106" s="184">
        <f>T106</f>
        <v>0.27</v>
      </c>
      <c r="W106" s="184"/>
      <c r="AD106" s="10">
        <v>17</v>
      </c>
      <c r="AE106" s="10">
        <f t="shared" si="10"/>
        <v>4.5899999999999995E-3</v>
      </c>
    </row>
    <row r="107" spans="3:31" s="1" customFormat="1">
      <c r="C107" s="13"/>
      <c r="E107" s="190" t="s">
        <v>21</v>
      </c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1" t="s">
        <v>22</v>
      </c>
      <c r="U107" s="191"/>
      <c r="V107" s="192">
        <v>90</v>
      </c>
      <c r="W107" s="192"/>
      <c r="AD107" s="10"/>
      <c r="AE107" s="10"/>
    </row>
    <row r="109" spans="3:31" s="1" customFormat="1">
      <c r="C109" s="13" t="s">
        <v>68</v>
      </c>
      <c r="D109" s="1">
        <v>150</v>
      </c>
      <c r="T109" s="182" t="s">
        <v>11</v>
      </c>
      <c r="U109" s="182"/>
      <c r="V109" s="182" t="s">
        <v>12</v>
      </c>
      <c r="W109" s="182"/>
      <c r="AD109" s="10"/>
      <c r="AE109" s="22">
        <f>SUM(AE110:AE112)</f>
        <v>5.0350999999999999</v>
      </c>
    </row>
    <row r="110" spans="3:31" s="1" customFormat="1">
      <c r="C110" s="13"/>
      <c r="E110" s="183" t="s">
        <v>69</v>
      </c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4">
        <v>52</v>
      </c>
      <c r="U110" s="184"/>
      <c r="V110" s="184">
        <v>52</v>
      </c>
      <c r="W110" s="184"/>
      <c r="AD110" s="10">
        <v>65</v>
      </c>
      <c r="AE110" s="10">
        <f>T110*AD110/1000</f>
        <v>3.38</v>
      </c>
    </row>
    <row r="111" spans="3:31" s="1" customFormat="1">
      <c r="C111" s="13"/>
      <c r="E111" s="183" t="s">
        <v>19</v>
      </c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4">
        <v>0.3</v>
      </c>
      <c r="U111" s="184"/>
      <c r="V111" s="184">
        <v>0.3</v>
      </c>
      <c r="W111" s="184"/>
      <c r="AD111" s="10">
        <v>17</v>
      </c>
      <c r="AE111" s="10">
        <f t="shared" ref="AE111:AE112" si="11">T111*AD111/1000</f>
        <v>5.0999999999999995E-3</v>
      </c>
    </row>
    <row r="112" spans="3:31" s="1" customFormat="1">
      <c r="C112" s="13"/>
      <c r="E112" s="183" t="s">
        <v>18</v>
      </c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4">
        <v>3</v>
      </c>
      <c r="U112" s="184"/>
      <c r="V112" s="184">
        <v>3</v>
      </c>
      <c r="W112" s="184"/>
      <c r="AD112" s="10">
        <v>550</v>
      </c>
      <c r="AE112" s="10">
        <f t="shared" si="11"/>
        <v>1.65</v>
      </c>
    </row>
    <row r="113" spans="1:31">
      <c r="E113" s="190" t="s">
        <v>21</v>
      </c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1" t="s">
        <v>22</v>
      </c>
      <c r="U113" s="191"/>
      <c r="V113" s="192">
        <v>150</v>
      </c>
      <c r="W113" s="192"/>
    </row>
    <row r="115" spans="1:31">
      <c r="C115" s="13" t="s">
        <v>70</v>
      </c>
      <c r="D115" s="1">
        <v>200</v>
      </c>
      <c r="T115" s="182" t="s">
        <v>11</v>
      </c>
      <c r="U115" s="182"/>
      <c r="V115" s="182" t="s">
        <v>12</v>
      </c>
      <c r="W115" s="182"/>
      <c r="AE115" s="22">
        <f>SUM(AE116:AE118)</f>
        <v>2.2000000000000002</v>
      </c>
    </row>
    <row r="116" spans="1:31">
      <c r="E116" s="183" t="s">
        <v>58</v>
      </c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4">
        <v>0.6</v>
      </c>
      <c r="U116" s="184"/>
      <c r="V116" s="184">
        <v>0.6</v>
      </c>
      <c r="W116" s="184"/>
      <c r="AD116" s="10">
        <v>500</v>
      </c>
      <c r="AE116" s="10">
        <f>T116*AD116/1000</f>
        <v>0.3</v>
      </c>
    </row>
    <row r="117" spans="1:31">
      <c r="E117" s="185" t="s">
        <v>20</v>
      </c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7"/>
      <c r="T117" s="188">
        <v>15</v>
      </c>
      <c r="U117" s="189"/>
      <c r="V117" s="188">
        <v>15</v>
      </c>
      <c r="W117" s="189"/>
      <c r="AD117" s="10">
        <v>55</v>
      </c>
      <c r="AE117" s="10">
        <f t="shared" ref="AE117:AE118" si="12">T117*AD117/1000</f>
        <v>0.82499999999999996</v>
      </c>
    </row>
    <row r="118" spans="1:31">
      <c r="E118" s="185" t="s">
        <v>71</v>
      </c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7"/>
      <c r="T118" s="188">
        <v>5</v>
      </c>
      <c r="U118" s="189"/>
      <c r="V118" s="188">
        <v>4</v>
      </c>
      <c r="W118" s="189"/>
      <c r="AD118" s="10">
        <v>215</v>
      </c>
      <c r="AE118" s="10">
        <f t="shared" si="12"/>
        <v>1.075</v>
      </c>
    </row>
    <row r="119" spans="1:31">
      <c r="E119" s="190" t="s">
        <v>21</v>
      </c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1" t="s">
        <v>22</v>
      </c>
      <c r="U119" s="191"/>
      <c r="V119" s="191" t="s">
        <v>72</v>
      </c>
      <c r="W119" s="191"/>
    </row>
    <row r="121" spans="1:31">
      <c r="C121" s="13" t="s">
        <v>26</v>
      </c>
      <c r="D121" s="1">
        <v>40</v>
      </c>
      <c r="AD121" s="10">
        <v>45.54</v>
      </c>
      <c r="AE121" s="22">
        <f>AD121*D121/1000</f>
        <v>1.8215999999999999</v>
      </c>
    </row>
    <row r="123" spans="1:31">
      <c r="A123" s="13" t="s">
        <v>73</v>
      </c>
      <c r="B123" s="13" t="s">
        <v>1</v>
      </c>
      <c r="C123" s="76" t="s">
        <v>74</v>
      </c>
      <c r="D123" s="30">
        <v>20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195" t="s">
        <v>11</v>
      </c>
      <c r="U123" s="195"/>
      <c r="V123" s="195" t="s">
        <v>12</v>
      </c>
      <c r="W123" s="195"/>
      <c r="X123" s="30"/>
      <c r="Y123" s="30"/>
      <c r="Z123" s="30"/>
      <c r="AA123" s="30"/>
      <c r="AB123" s="30"/>
      <c r="AC123" s="30"/>
      <c r="AD123" s="31"/>
      <c r="AE123" s="81">
        <f>AE124</f>
        <v>5.25</v>
      </c>
    </row>
    <row r="124" spans="1:31">
      <c r="B124" s="28">
        <f>AE123+AE129+AE131+AE140+AE142+AE144</f>
        <v>44.975199999999994</v>
      </c>
      <c r="C124" s="76"/>
      <c r="D124" s="30"/>
      <c r="E124" s="196" t="s">
        <v>75</v>
      </c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7">
        <f>21*V125/20</f>
        <v>21</v>
      </c>
      <c r="U124" s="197"/>
      <c r="V124" s="197">
        <f>T124</f>
        <v>21</v>
      </c>
      <c r="W124" s="197"/>
      <c r="X124" s="30"/>
      <c r="Y124" s="30"/>
      <c r="Z124" s="30"/>
      <c r="AA124" s="30"/>
      <c r="AB124" s="30"/>
      <c r="AC124" s="30"/>
      <c r="AD124" s="31">
        <v>250</v>
      </c>
      <c r="AE124" s="31">
        <f>T124*AD124/1000</f>
        <v>5.25</v>
      </c>
    </row>
    <row r="125" spans="1:31">
      <c r="C125" s="76"/>
      <c r="D125" s="30"/>
      <c r="E125" s="198" t="s">
        <v>21</v>
      </c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9" t="s">
        <v>22</v>
      </c>
      <c r="U125" s="199"/>
      <c r="V125" s="200">
        <v>20</v>
      </c>
      <c r="W125" s="200"/>
      <c r="X125" s="30"/>
      <c r="Y125" s="30"/>
      <c r="Z125" s="30"/>
      <c r="AA125" s="30"/>
      <c r="AB125" s="30"/>
      <c r="AC125" s="30"/>
      <c r="AD125" s="31"/>
      <c r="AE125" s="31"/>
    </row>
    <row r="126" spans="1:31">
      <c r="T126" s="201" t="s">
        <v>11</v>
      </c>
      <c r="U126" s="201"/>
      <c r="V126" s="201" t="s">
        <v>12</v>
      </c>
      <c r="W126" s="201"/>
    </row>
    <row r="127" spans="1:31">
      <c r="C127" s="13" t="s">
        <v>76</v>
      </c>
      <c r="D127" s="1">
        <v>40</v>
      </c>
      <c r="E127" s="256" t="s">
        <v>77</v>
      </c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7">
        <v>43</v>
      </c>
      <c r="U127" s="257"/>
      <c r="AD127" s="10">
        <v>160</v>
      </c>
      <c r="AE127" s="29">
        <f>T127*AD127/1000</f>
        <v>6.88</v>
      </c>
    </row>
    <row r="128" spans="1:31">
      <c r="T128" s="201" t="s">
        <v>11</v>
      </c>
      <c r="U128" s="201"/>
      <c r="V128" s="201" t="s">
        <v>12</v>
      </c>
      <c r="W128" s="201"/>
    </row>
    <row r="129" spans="3:31" s="1" customFormat="1">
      <c r="C129" s="76" t="s">
        <v>79</v>
      </c>
      <c r="D129" s="30">
        <v>20</v>
      </c>
      <c r="E129" s="258" t="s">
        <v>78</v>
      </c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7">
        <v>21</v>
      </c>
      <c r="U129" s="257"/>
      <c r="V129" s="257">
        <v>20</v>
      </c>
      <c r="W129" s="257"/>
      <c r="AD129" s="10">
        <v>430.2</v>
      </c>
      <c r="AE129" s="29">
        <f>T129*AD129/1000</f>
        <v>9.0341999999999985</v>
      </c>
    </row>
    <row r="131" spans="3:31" s="1" customFormat="1">
      <c r="C131" s="13" t="s">
        <v>80</v>
      </c>
      <c r="D131" s="1">
        <v>200</v>
      </c>
      <c r="T131" s="182" t="s">
        <v>11</v>
      </c>
      <c r="U131" s="182"/>
      <c r="V131" s="182" t="s">
        <v>12</v>
      </c>
      <c r="W131" s="182"/>
      <c r="AD131" s="10"/>
      <c r="AE131" s="29">
        <f>SUM(AE132:AE137)</f>
        <v>21.160399999999996</v>
      </c>
    </row>
    <row r="132" spans="3:31" s="1" customFormat="1">
      <c r="C132" s="13"/>
      <c r="E132" s="183" t="s">
        <v>52</v>
      </c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4">
        <f>100*V138/200</f>
        <v>100</v>
      </c>
      <c r="U132" s="184"/>
      <c r="V132" s="184">
        <f t="shared" ref="V132:V137" si="13">T132</f>
        <v>100</v>
      </c>
      <c r="W132" s="184"/>
      <c r="AD132" s="10">
        <v>140</v>
      </c>
      <c r="AE132" s="10">
        <f>T132*AD132/1000</f>
        <v>14</v>
      </c>
    </row>
    <row r="133" spans="3:31" s="1" customFormat="1">
      <c r="C133" s="13"/>
      <c r="E133" s="185" t="s">
        <v>16</v>
      </c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7"/>
      <c r="T133" s="188">
        <f>80*V138/200</f>
        <v>80</v>
      </c>
      <c r="U133" s="189"/>
      <c r="V133" s="184">
        <f t="shared" si="13"/>
        <v>80</v>
      </c>
      <c r="W133" s="184"/>
      <c r="AD133" s="10">
        <v>48.17</v>
      </c>
      <c r="AE133" s="10">
        <f t="shared" ref="AE133:AE137" si="14">T133*AD133/1000</f>
        <v>3.8536000000000006</v>
      </c>
    </row>
    <row r="134" spans="3:31" s="1" customFormat="1">
      <c r="C134" s="13"/>
      <c r="E134" s="185" t="s">
        <v>18</v>
      </c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7"/>
      <c r="T134" s="188">
        <f>3*V138/200</f>
        <v>3</v>
      </c>
      <c r="U134" s="189"/>
      <c r="V134" s="184">
        <f t="shared" si="13"/>
        <v>3</v>
      </c>
      <c r="W134" s="184"/>
      <c r="AD134" s="10">
        <v>550</v>
      </c>
      <c r="AE134" s="10">
        <f t="shared" si="14"/>
        <v>1.65</v>
      </c>
    </row>
    <row r="135" spans="3:31" s="1" customFormat="1">
      <c r="C135" s="13"/>
      <c r="E135" s="185" t="s">
        <v>17</v>
      </c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7"/>
      <c r="T135" s="188">
        <f>45*V138/200</f>
        <v>45</v>
      </c>
      <c r="U135" s="189"/>
      <c r="V135" s="184">
        <f t="shared" si="13"/>
        <v>45</v>
      </c>
      <c r="W135" s="184"/>
      <c r="AD135" s="10"/>
      <c r="AE135" s="10">
        <f t="shared" si="14"/>
        <v>0</v>
      </c>
    </row>
    <row r="136" spans="3:31" s="1" customFormat="1">
      <c r="C136" s="13"/>
      <c r="E136" s="185" t="s">
        <v>18</v>
      </c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7"/>
      <c r="T136" s="193">
        <f>3*V138/200</f>
        <v>3</v>
      </c>
      <c r="U136" s="194"/>
      <c r="V136" s="184">
        <f t="shared" si="13"/>
        <v>3</v>
      </c>
      <c r="W136" s="184"/>
      <c r="AD136" s="10">
        <v>550</v>
      </c>
      <c r="AE136" s="10">
        <f t="shared" si="14"/>
        <v>1.65</v>
      </c>
    </row>
    <row r="137" spans="3:31" s="1" customFormat="1">
      <c r="C137" s="13"/>
      <c r="E137" s="183" t="s">
        <v>19</v>
      </c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4">
        <f>0.4*V138/200</f>
        <v>0.4</v>
      </c>
      <c r="U137" s="184"/>
      <c r="V137" s="184">
        <f t="shared" si="13"/>
        <v>0.4</v>
      </c>
      <c r="W137" s="184"/>
      <c r="AD137" s="10">
        <v>17</v>
      </c>
      <c r="AE137" s="10">
        <f t="shared" si="14"/>
        <v>6.8000000000000005E-3</v>
      </c>
    </row>
    <row r="138" spans="3:31" s="1" customFormat="1">
      <c r="C138" s="13"/>
      <c r="E138" s="190" t="s">
        <v>21</v>
      </c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1" t="s">
        <v>22</v>
      </c>
      <c r="U138" s="191"/>
      <c r="V138" s="192">
        <v>200</v>
      </c>
      <c r="W138" s="192"/>
      <c r="AD138" s="10"/>
      <c r="AE138" s="10"/>
    </row>
    <row r="139" spans="3:31" s="1" customFormat="1">
      <c r="C139" s="13"/>
      <c r="T139" s="182" t="s">
        <v>11</v>
      </c>
      <c r="U139" s="182"/>
      <c r="V139" s="182" t="s">
        <v>12</v>
      </c>
      <c r="W139" s="182"/>
      <c r="AD139" s="10"/>
      <c r="AE139" s="10"/>
    </row>
    <row r="140" spans="3:31" s="1" customFormat="1">
      <c r="C140" s="13" t="s">
        <v>81</v>
      </c>
      <c r="E140" s="183" t="s">
        <v>82</v>
      </c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4">
        <v>100</v>
      </c>
      <c r="U140" s="184"/>
      <c r="V140" s="184">
        <v>100</v>
      </c>
      <c r="W140" s="184"/>
      <c r="AD140" s="10">
        <v>62.4</v>
      </c>
      <c r="AE140" s="29">
        <f>T140*AD140/1000</f>
        <v>6.24</v>
      </c>
    </row>
    <row r="142" spans="3:31" s="1" customFormat="1">
      <c r="C142" s="13" t="s">
        <v>59</v>
      </c>
      <c r="D142" s="1">
        <v>40</v>
      </c>
      <c r="AD142" s="10">
        <v>54.14</v>
      </c>
      <c r="AE142" s="29">
        <f>D142*AD142/1000</f>
        <v>2.1656</v>
      </c>
    </row>
    <row r="144" spans="3:31" s="1" customFormat="1">
      <c r="C144" s="13" t="s">
        <v>57</v>
      </c>
      <c r="D144" s="1">
        <v>200</v>
      </c>
      <c r="T144" s="182" t="s">
        <v>11</v>
      </c>
      <c r="U144" s="182"/>
      <c r="V144" s="182" t="s">
        <v>12</v>
      </c>
      <c r="W144" s="182"/>
      <c r="AD144" s="10"/>
      <c r="AE144" s="29">
        <f>AE145+AE146</f>
        <v>1.125</v>
      </c>
    </row>
    <row r="145" spans="1:31">
      <c r="E145" s="183" t="s">
        <v>58</v>
      </c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4">
        <v>0.6</v>
      </c>
      <c r="U145" s="184"/>
      <c r="V145" s="184">
        <v>0.6</v>
      </c>
      <c r="W145" s="184"/>
      <c r="AD145" s="10">
        <v>500</v>
      </c>
      <c r="AE145" s="10">
        <f>AD145*T145/1000</f>
        <v>0.3</v>
      </c>
    </row>
    <row r="146" spans="1:31">
      <c r="E146" s="185" t="s">
        <v>20</v>
      </c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7"/>
      <c r="T146" s="188">
        <v>15</v>
      </c>
      <c r="U146" s="189"/>
      <c r="V146" s="188">
        <v>15</v>
      </c>
      <c r="W146" s="189"/>
      <c r="AD146" s="10">
        <v>55</v>
      </c>
      <c r="AE146" s="10">
        <f>AD146*T146/1000</f>
        <v>0.82499999999999996</v>
      </c>
    </row>
    <row r="147" spans="1:31">
      <c r="E147" s="190" t="s">
        <v>21</v>
      </c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1" t="s">
        <v>22</v>
      </c>
      <c r="U147" s="191"/>
      <c r="V147" s="192">
        <v>200</v>
      </c>
      <c r="W147" s="192"/>
    </row>
    <row r="150" spans="1:31">
      <c r="A150" s="77" t="s">
        <v>83</v>
      </c>
      <c r="B150" s="77" t="s">
        <v>1</v>
      </c>
      <c r="C150" s="77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32"/>
      <c r="AE150" s="32"/>
    </row>
    <row r="151" spans="1:31">
      <c r="A151" s="77"/>
      <c r="B151" s="79">
        <f>AE151+AE153+AE165+AE172+AE174</f>
        <v>67.155680000000004</v>
      </c>
      <c r="C151" s="77" t="s">
        <v>84</v>
      </c>
      <c r="D151" s="78"/>
      <c r="E151" s="261" t="s">
        <v>85</v>
      </c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2">
        <v>102</v>
      </c>
      <c r="U151" s="262"/>
      <c r="V151" s="262">
        <v>100</v>
      </c>
      <c r="W151" s="262"/>
      <c r="X151" s="78"/>
      <c r="Y151" s="78"/>
      <c r="Z151" s="78"/>
      <c r="AA151" s="78"/>
      <c r="AB151" s="78"/>
      <c r="AC151" s="78"/>
      <c r="AD151" s="32">
        <v>105</v>
      </c>
      <c r="AE151" s="32">
        <f>T151*AD151/1000</f>
        <v>10.71</v>
      </c>
    </row>
    <row r="152" spans="1:31">
      <c r="A152" s="77"/>
      <c r="B152" s="77"/>
      <c r="C152" s="77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32"/>
      <c r="AE152" s="32"/>
    </row>
    <row r="153" spans="1:31">
      <c r="A153" s="77"/>
      <c r="B153" s="77"/>
      <c r="C153" s="77" t="s">
        <v>86</v>
      </c>
      <c r="D153" s="78">
        <v>90</v>
      </c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267" t="s">
        <v>11</v>
      </c>
      <c r="U153" s="267"/>
      <c r="V153" s="267" t="s">
        <v>12</v>
      </c>
      <c r="W153" s="267"/>
      <c r="X153" s="78"/>
      <c r="Y153" s="78"/>
      <c r="Z153" s="78"/>
      <c r="AA153" s="78"/>
      <c r="AB153" s="78"/>
      <c r="AC153" s="78"/>
      <c r="AD153" s="32"/>
      <c r="AE153" s="32">
        <f>SUM(AE154:AE162)</f>
        <v>38.222900000000003</v>
      </c>
    </row>
    <row r="154" spans="1:31">
      <c r="A154" s="77"/>
      <c r="B154" s="77"/>
      <c r="C154" s="77"/>
      <c r="D154" s="78"/>
      <c r="E154" s="261" t="s">
        <v>63</v>
      </c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2">
        <f>50*V163/90</f>
        <v>50</v>
      </c>
      <c r="U154" s="262"/>
      <c r="V154" s="262">
        <f>42*V163/90</f>
        <v>42</v>
      </c>
      <c r="W154" s="262"/>
      <c r="X154" s="78"/>
      <c r="Y154" s="78"/>
      <c r="Z154" s="78"/>
      <c r="AA154" s="78"/>
      <c r="AB154" s="78"/>
      <c r="AC154" s="78"/>
      <c r="AD154" s="32">
        <v>548</v>
      </c>
      <c r="AE154" s="32">
        <f>T154*AD154/1000</f>
        <v>27.4</v>
      </c>
    </row>
    <row r="155" spans="1:31">
      <c r="A155" s="77"/>
      <c r="B155" s="77"/>
      <c r="C155" s="77"/>
      <c r="D155" s="78"/>
      <c r="E155" s="263" t="s">
        <v>87</v>
      </c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5"/>
      <c r="T155" s="259">
        <f>24*V163/90</f>
        <v>24</v>
      </c>
      <c r="U155" s="260"/>
      <c r="V155" s="259">
        <f>20*V163/90</f>
        <v>20</v>
      </c>
      <c r="W155" s="260"/>
      <c r="X155" s="78"/>
      <c r="Y155" s="78"/>
      <c r="Z155" s="78"/>
      <c r="AA155" s="78"/>
      <c r="AB155" s="78"/>
      <c r="AC155" s="78"/>
      <c r="AD155" s="32">
        <v>330</v>
      </c>
      <c r="AE155" s="32">
        <f t="shared" ref="AE155:AE162" si="15">T155*AD155/1000</f>
        <v>7.92</v>
      </c>
    </row>
    <row r="156" spans="1:31">
      <c r="A156" s="77"/>
      <c r="B156" s="77"/>
      <c r="C156" s="77"/>
      <c r="D156" s="78"/>
      <c r="E156" s="263" t="s">
        <v>88</v>
      </c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5"/>
      <c r="T156" s="259">
        <f>13.5*V163/90</f>
        <v>13.5</v>
      </c>
      <c r="U156" s="260"/>
      <c r="V156" s="259">
        <f>T156</f>
        <v>13.5</v>
      </c>
      <c r="W156" s="260"/>
      <c r="X156" s="78"/>
      <c r="Y156" s="78"/>
      <c r="Z156" s="78"/>
      <c r="AA156" s="78"/>
      <c r="AB156" s="78"/>
      <c r="AC156" s="78"/>
      <c r="AD156" s="32">
        <v>45.54</v>
      </c>
      <c r="AE156" s="32">
        <f t="shared" si="15"/>
        <v>0.61478999999999995</v>
      </c>
    </row>
    <row r="157" spans="1:31">
      <c r="A157" s="77"/>
      <c r="B157" s="77"/>
      <c r="C157" s="77"/>
      <c r="D157" s="78"/>
      <c r="E157" s="263" t="s">
        <v>64</v>
      </c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5"/>
      <c r="T157" s="259">
        <f>4*V163/90</f>
        <v>4</v>
      </c>
      <c r="U157" s="260"/>
      <c r="V157" s="259">
        <f t="shared" ref="V157:V162" si="16">T157</f>
        <v>4</v>
      </c>
      <c r="W157" s="260"/>
      <c r="X157" s="78"/>
      <c r="Y157" s="78"/>
      <c r="Z157" s="78"/>
      <c r="AA157" s="78"/>
      <c r="AB157" s="78"/>
      <c r="AC157" s="78"/>
      <c r="AD157" s="32">
        <v>140</v>
      </c>
      <c r="AE157" s="32">
        <f t="shared" si="15"/>
        <v>0.56000000000000005</v>
      </c>
    </row>
    <row r="158" spans="1:31">
      <c r="A158" s="77"/>
      <c r="B158" s="77"/>
      <c r="C158" s="77"/>
      <c r="D158" s="78"/>
      <c r="E158" s="263" t="s">
        <v>89</v>
      </c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5"/>
      <c r="T158" s="259">
        <f>3.5*V163/90</f>
        <v>3.5</v>
      </c>
      <c r="U158" s="260"/>
      <c r="V158" s="259">
        <f t="shared" si="16"/>
        <v>3.5</v>
      </c>
      <c r="W158" s="260"/>
      <c r="X158" s="78"/>
      <c r="Y158" s="78"/>
      <c r="Z158" s="78"/>
      <c r="AA158" s="78"/>
      <c r="AB158" s="78"/>
      <c r="AC158" s="78"/>
      <c r="AD158" s="32">
        <v>20</v>
      </c>
      <c r="AE158" s="32">
        <f t="shared" si="15"/>
        <v>7.0000000000000007E-2</v>
      </c>
    </row>
    <row r="159" spans="1:31">
      <c r="A159" s="77"/>
      <c r="B159" s="77"/>
      <c r="C159" s="77"/>
      <c r="D159" s="78"/>
      <c r="E159" s="263" t="s">
        <v>16</v>
      </c>
      <c r="F159" s="264"/>
      <c r="G159" s="264"/>
      <c r="H159" s="264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265"/>
      <c r="T159" s="259">
        <f>13*V163/90</f>
        <v>13</v>
      </c>
      <c r="U159" s="260"/>
      <c r="V159" s="259">
        <f t="shared" si="16"/>
        <v>13</v>
      </c>
      <c r="W159" s="260"/>
      <c r="X159" s="78"/>
      <c r="Y159" s="78"/>
      <c r="Z159" s="78"/>
      <c r="AA159" s="78"/>
      <c r="AB159" s="78"/>
      <c r="AC159" s="78"/>
      <c r="AD159" s="32">
        <v>48.17</v>
      </c>
      <c r="AE159" s="32">
        <f t="shared" si="15"/>
        <v>0.62621000000000004</v>
      </c>
    </row>
    <row r="160" spans="1:31">
      <c r="A160" s="77"/>
      <c r="B160" s="77"/>
      <c r="C160" s="77"/>
      <c r="D160" s="78"/>
      <c r="E160" s="261" t="s">
        <v>55</v>
      </c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2">
        <f>4*V163/90</f>
        <v>4</v>
      </c>
      <c r="U160" s="262"/>
      <c r="V160" s="259">
        <f t="shared" si="16"/>
        <v>4</v>
      </c>
      <c r="W160" s="260"/>
      <c r="X160" s="78"/>
      <c r="Y160" s="78"/>
      <c r="Z160" s="78"/>
      <c r="AA160" s="78"/>
      <c r="AB160" s="78"/>
      <c r="AC160" s="78"/>
      <c r="AD160" s="32">
        <v>150</v>
      </c>
      <c r="AE160" s="32">
        <f t="shared" si="15"/>
        <v>0.6</v>
      </c>
    </row>
    <row r="161" spans="1:31">
      <c r="A161" s="77"/>
      <c r="B161" s="77"/>
      <c r="C161" s="77"/>
      <c r="D161" s="78"/>
      <c r="E161" s="261" t="s">
        <v>19</v>
      </c>
      <c r="F161" s="261"/>
      <c r="G161" s="261"/>
      <c r="H161" s="261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261"/>
      <c r="T161" s="262">
        <f>0.7*V163/90</f>
        <v>0.7</v>
      </c>
      <c r="U161" s="262"/>
      <c r="V161" s="259">
        <f t="shared" si="16"/>
        <v>0.7</v>
      </c>
      <c r="W161" s="260"/>
      <c r="X161" s="78"/>
      <c r="Y161" s="78"/>
      <c r="Z161" s="78"/>
      <c r="AA161" s="78"/>
      <c r="AB161" s="78"/>
      <c r="AC161" s="78"/>
      <c r="AD161" s="32">
        <v>17</v>
      </c>
      <c r="AE161" s="32">
        <f t="shared" si="15"/>
        <v>1.1899999999999999E-2</v>
      </c>
    </row>
    <row r="162" spans="1:31">
      <c r="A162" s="77"/>
      <c r="B162" s="77"/>
      <c r="C162" s="77"/>
      <c r="D162" s="78"/>
      <c r="E162" s="263" t="s">
        <v>67</v>
      </c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5"/>
      <c r="T162" s="259">
        <f>3*V163/90</f>
        <v>3</v>
      </c>
      <c r="U162" s="260"/>
      <c r="V162" s="259">
        <f t="shared" si="16"/>
        <v>3</v>
      </c>
      <c r="W162" s="260"/>
      <c r="X162" s="78"/>
      <c r="Y162" s="78"/>
      <c r="Z162" s="78"/>
      <c r="AA162" s="78"/>
      <c r="AB162" s="78"/>
      <c r="AC162" s="78"/>
      <c r="AD162" s="32">
        <v>140</v>
      </c>
      <c r="AE162" s="32">
        <f t="shared" si="15"/>
        <v>0.42</v>
      </c>
    </row>
    <row r="163" spans="1:31">
      <c r="A163" s="77"/>
      <c r="B163" s="77"/>
      <c r="C163" s="77"/>
      <c r="D163" s="78"/>
      <c r="E163" s="266" t="s">
        <v>21</v>
      </c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68" t="s">
        <v>22</v>
      </c>
      <c r="U163" s="268"/>
      <c r="V163" s="269">
        <v>90</v>
      </c>
      <c r="W163" s="269"/>
      <c r="X163" s="78"/>
      <c r="Y163" s="78"/>
      <c r="Z163" s="78"/>
      <c r="AA163" s="78"/>
      <c r="AB163" s="78"/>
      <c r="AC163" s="78"/>
      <c r="AD163" s="32"/>
      <c r="AE163" s="32"/>
    </row>
    <row r="164" spans="1:31">
      <c r="A164" s="77"/>
      <c r="B164" s="77"/>
      <c r="C164" s="77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32"/>
      <c r="AE164" s="32"/>
    </row>
    <row r="165" spans="1:31">
      <c r="A165" s="77"/>
      <c r="B165" s="77"/>
      <c r="C165" s="77" t="s">
        <v>90</v>
      </c>
      <c r="D165" s="78">
        <v>150</v>
      </c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267" t="s">
        <v>11</v>
      </c>
      <c r="U165" s="267"/>
      <c r="V165" s="267" t="s">
        <v>12</v>
      </c>
      <c r="W165" s="267"/>
      <c r="X165" s="78"/>
      <c r="Y165" s="78"/>
      <c r="Z165" s="78"/>
      <c r="AA165" s="78"/>
      <c r="AB165" s="78"/>
      <c r="AC165" s="78"/>
      <c r="AD165" s="32"/>
      <c r="AE165" s="32">
        <f>SUM(AE166:AE169)</f>
        <v>7.4011799999999992</v>
      </c>
    </row>
    <row r="166" spans="1:31">
      <c r="A166" s="77"/>
      <c r="B166" s="77"/>
      <c r="C166" s="77"/>
      <c r="D166" s="78"/>
      <c r="E166" s="261" t="s">
        <v>91</v>
      </c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2">
        <f>170*V170/150</f>
        <v>170</v>
      </c>
      <c r="U166" s="262"/>
      <c r="V166" s="262">
        <f>128*V170/150</f>
        <v>128</v>
      </c>
      <c r="W166" s="262"/>
      <c r="X166" s="78"/>
      <c r="Y166" s="78"/>
      <c r="Z166" s="78"/>
      <c r="AA166" s="78"/>
      <c r="AB166" s="78"/>
      <c r="AC166" s="78"/>
      <c r="AD166" s="32">
        <v>27</v>
      </c>
      <c r="AE166" s="32">
        <f>T166*AD166/1000</f>
        <v>4.59</v>
      </c>
    </row>
    <row r="167" spans="1:31">
      <c r="A167" s="77"/>
      <c r="B167" s="77"/>
      <c r="C167" s="77"/>
      <c r="D167" s="78"/>
      <c r="E167" s="263" t="s">
        <v>16</v>
      </c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5"/>
      <c r="T167" s="259">
        <f>24*V170/150</f>
        <v>24</v>
      </c>
      <c r="U167" s="260"/>
      <c r="V167" s="259">
        <f>24*V170/150</f>
        <v>24</v>
      </c>
      <c r="W167" s="260"/>
      <c r="X167" s="78"/>
      <c r="Y167" s="78"/>
      <c r="Z167" s="78"/>
      <c r="AA167" s="78"/>
      <c r="AB167" s="78"/>
      <c r="AC167" s="78"/>
      <c r="AD167" s="32">
        <v>48.17</v>
      </c>
      <c r="AE167" s="32">
        <f t="shared" ref="AE167:AE169" si="17">T167*AD167/1000</f>
        <v>1.15608</v>
      </c>
    </row>
    <row r="168" spans="1:31">
      <c r="A168" s="77"/>
      <c r="B168" s="77"/>
      <c r="C168" s="77"/>
      <c r="D168" s="78"/>
      <c r="E168" s="263" t="s">
        <v>18</v>
      </c>
      <c r="F168" s="264"/>
      <c r="G168" s="264"/>
      <c r="H168" s="264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5"/>
      <c r="T168" s="259">
        <f>3*V170/150</f>
        <v>3</v>
      </c>
      <c r="U168" s="260"/>
      <c r="V168" s="259">
        <f>3*V170/150</f>
        <v>3</v>
      </c>
      <c r="W168" s="260"/>
      <c r="X168" s="78"/>
      <c r="Y168" s="78"/>
      <c r="Z168" s="78"/>
      <c r="AA168" s="78"/>
      <c r="AB168" s="78"/>
      <c r="AC168" s="78"/>
      <c r="AD168" s="32">
        <v>550</v>
      </c>
      <c r="AE168" s="32">
        <f t="shared" si="17"/>
        <v>1.65</v>
      </c>
    </row>
    <row r="169" spans="1:31">
      <c r="A169" s="77"/>
      <c r="B169" s="77"/>
      <c r="C169" s="77"/>
      <c r="D169" s="78"/>
      <c r="E169" s="261" t="s">
        <v>19</v>
      </c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2">
        <f>0.3*V170/150</f>
        <v>0.3</v>
      </c>
      <c r="U169" s="262"/>
      <c r="V169" s="262">
        <f>0.3*V170/150</f>
        <v>0.3</v>
      </c>
      <c r="W169" s="262"/>
      <c r="X169" s="78"/>
      <c r="Y169" s="78"/>
      <c r="Z169" s="78"/>
      <c r="AA169" s="78"/>
      <c r="AB169" s="78"/>
      <c r="AC169" s="78"/>
      <c r="AD169" s="32">
        <v>17</v>
      </c>
      <c r="AE169" s="32">
        <f t="shared" si="17"/>
        <v>5.0999999999999995E-3</v>
      </c>
    </row>
    <row r="170" spans="1:31">
      <c r="A170" s="77"/>
      <c r="B170" s="77"/>
      <c r="C170" s="77"/>
      <c r="D170" s="78"/>
      <c r="E170" s="266" t="s">
        <v>21</v>
      </c>
      <c r="F170" s="266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266"/>
      <c r="T170" s="268" t="s">
        <v>22</v>
      </c>
      <c r="U170" s="268"/>
      <c r="V170" s="269">
        <v>150</v>
      </c>
      <c r="W170" s="269"/>
      <c r="X170" s="78"/>
      <c r="Y170" s="78"/>
      <c r="Z170" s="78"/>
      <c r="AA170" s="78"/>
      <c r="AB170" s="78"/>
      <c r="AC170" s="78"/>
      <c r="AD170" s="32"/>
      <c r="AE170" s="32"/>
    </row>
    <row r="171" spans="1:31">
      <c r="A171" s="77"/>
      <c r="B171" s="77"/>
      <c r="C171" s="77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32"/>
      <c r="AE171" s="32"/>
    </row>
    <row r="172" spans="1:31">
      <c r="A172" s="77"/>
      <c r="B172" s="77"/>
      <c r="C172" s="77" t="s">
        <v>92</v>
      </c>
      <c r="D172" s="78">
        <v>200</v>
      </c>
      <c r="E172" s="261" t="s">
        <v>93</v>
      </c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70">
        <v>200</v>
      </c>
      <c r="U172" s="270"/>
      <c r="V172" s="270">
        <v>200</v>
      </c>
      <c r="W172" s="270"/>
      <c r="X172" s="78"/>
      <c r="Y172" s="78"/>
      <c r="Z172" s="78"/>
      <c r="AA172" s="78"/>
      <c r="AB172" s="78"/>
      <c r="AC172" s="78"/>
      <c r="AD172" s="32">
        <v>45</v>
      </c>
      <c r="AE172" s="32">
        <f>T172*AD172/1000</f>
        <v>9</v>
      </c>
    </row>
    <row r="173" spans="1:31">
      <c r="A173" s="77"/>
      <c r="B173" s="77"/>
      <c r="C173" s="77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32"/>
      <c r="AE173" s="32"/>
    </row>
    <row r="174" spans="1:31">
      <c r="A174" s="77"/>
      <c r="B174" s="77"/>
      <c r="C174" s="77" t="s">
        <v>26</v>
      </c>
      <c r="D174" s="78">
        <v>40</v>
      </c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32">
        <v>45.54</v>
      </c>
      <c r="AE174" s="32">
        <f>D174*AD174/1000</f>
        <v>1.8215999999999999</v>
      </c>
    </row>
    <row r="176" spans="1:31">
      <c r="A176" s="13" t="s">
        <v>94</v>
      </c>
      <c r="B176" s="13" t="s">
        <v>1</v>
      </c>
    </row>
    <row r="177" spans="2:31" s="1" customFormat="1">
      <c r="B177" s="35">
        <f>AE177+AE179+AE181+AE189+AE196</f>
        <v>49.584299999999992</v>
      </c>
      <c r="C177" s="13" t="s">
        <v>95</v>
      </c>
      <c r="E177" s="183" t="s">
        <v>96</v>
      </c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4">
        <v>100</v>
      </c>
      <c r="U177" s="184"/>
      <c r="V177" s="184">
        <v>100</v>
      </c>
      <c r="W177" s="184"/>
      <c r="AD177" s="10">
        <v>140</v>
      </c>
      <c r="AE177" s="36">
        <f>T177*AD177/1000</f>
        <v>14</v>
      </c>
    </row>
    <row r="179" spans="2:31" s="1" customFormat="1">
      <c r="B179" s="13"/>
      <c r="C179" s="13" t="s">
        <v>97</v>
      </c>
      <c r="D179" s="1">
        <v>20</v>
      </c>
      <c r="E179" s="183" t="s">
        <v>78</v>
      </c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4">
        <v>21</v>
      </c>
      <c r="U179" s="184"/>
      <c r="V179" s="184">
        <v>20</v>
      </c>
      <c r="W179" s="184"/>
      <c r="AD179" s="10">
        <v>430.2</v>
      </c>
      <c r="AE179" s="36">
        <f>T179*AD179/1000</f>
        <v>9.0341999999999985</v>
      </c>
    </row>
    <row r="181" spans="2:31" s="1" customFormat="1">
      <c r="B181" s="13"/>
      <c r="C181" s="13" t="s">
        <v>98</v>
      </c>
      <c r="D181" s="1">
        <v>200</v>
      </c>
      <c r="T181" s="182" t="s">
        <v>11</v>
      </c>
      <c r="U181" s="182"/>
      <c r="V181" s="182" t="s">
        <v>12</v>
      </c>
      <c r="W181" s="182"/>
      <c r="AD181" s="10"/>
      <c r="AE181" s="36">
        <f>SUM(AE182:AE186)</f>
        <v>17.2225</v>
      </c>
    </row>
    <row r="182" spans="2:31" s="1" customFormat="1">
      <c r="B182" s="13"/>
      <c r="C182" s="13"/>
      <c r="E182" s="183" t="s">
        <v>99</v>
      </c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4">
        <f>50*V187/200</f>
        <v>50</v>
      </c>
      <c r="U182" s="184"/>
      <c r="V182" s="184">
        <f>T182</f>
        <v>50</v>
      </c>
      <c r="W182" s="184"/>
      <c r="AD182" s="10">
        <v>90</v>
      </c>
      <c r="AE182" s="10">
        <f>T182*AD182/1000</f>
        <v>4.5</v>
      </c>
    </row>
    <row r="183" spans="2:31" s="1" customFormat="1">
      <c r="B183" s="13"/>
      <c r="C183" s="13"/>
      <c r="E183" s="185" t="s">
        <v>16</v>
      </c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7"/>
      <c r="T183" s="188">
        <f>200*V187/200</f>
        <v>200</v>
      </c>
      <c r="U183" s="189"/>
      <c r="V183" s="188">
        <f>T183</f>
        <v>200</v>
      </c>
      <c r="W183" s="189"/>
      <c r="AD183" s="10">
        <v>48.17</v>
      </c>
      <c r="AE183" s="10">
        <f t="shared" ref="AE183:AE186" si="18">T183*AD183/1000</f>
        <v>9.6340000000000003</v>
      </c>
    </row>
    <row r="184" spans="2:31" s="1" customFormat="1">
      <c r="B184" s="13"/>
      <c r="C184" s="13"/>
      <c r="E184" s="185" t="s">
        <v>20</v>
      </c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7"/>
      <c r="T184" s="188">
        <f>6*V187/200</f>
        <v>6</v>
      </c>
      <c r="U184" s="189"/>
      <c r="V184" s="188">
        <f>T184</f>
        <v>6</v>
      </c>
      <c r="W184" s="189"/>
      <c r="AD184" s="10">
        <v>55</v>
      </c>
      <c r="AE184" s="10">
        <f t="shared" si="18"/>
        <v>0.33</v>
      </c>
    </row>
    <row r="185" spans="2:31" s="1" customFormat="1">
      <c r="B185" s="13"/>
      <c r="C185" s="13"/>
      <c r="E185" s="185" t="s">
        <v>18</v>
      </c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7"/>
      <c r="T185" s="188">
        <f>5*V187/200</f>
        <v>5</v>
      </c>
      <c r="U185" s="189"/>
      <c r="V185" s="188">
        <f>T185</f>
        <v>5</v>
      </c>
      <c r="W185" s="189"/>
      <c r="AD185" s="10">
        <v>550</v>
      </c>
      <c r="AE185" s="10">
        <f t="shared" si="18"/>
        <v>2.75</v>
      </c>
    </row>
    <row r="186" spans="2:31" s="1" customFormat="1">
      <c r="B186" s="13"/>
      <c r="C186" s="13"/>
      <c r="E186" s="183" t="s">
        <v>19</v>
      </c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4">
        <f>0.5*V187/200</f>
        <v>0.5</v>
      </c>
      <c r="U186" s="184"/>
      <c r="V186" s="184">
        <f>T186</f>
        <v>0.5</v>
      </c>
      <c r="W186" s="184"/>
      <c r="AD186" s="10">
        <v>17</v>
      </c>
      <c r="AE186" s="10">
        <f t="shared" si="18"/>
        <v>8.5000000000000006E-3</v>
      </c>
    </row>
    <row r="187" spans="2:31" s="1" customFormat="1">
      <c r="B187" s="13"/>
      <c r="C187" s="13"/>
      <c r="E187" s="190" t="s">
        <v>21</v>
      </c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1" t="s">
        <v>22</v>
      </c>
      <c r="U187" s="191"/>
      <c r="V187" s="192">
        <v>200</v>
      </c>
      <c r="W187" s="192"/>
      <c r="AD187" s="10" t="s">
        <v>29</v>
      </c>
      <c r="AE187" s="10"/>
    </row>
    <row r="189" spans="2:31" s="1" customFormat="1">
      <c r="B189" s="13"/>
      <c r="C189" s="13" t="s">
        <v>39</v>
      </c>
      <c r="D189" s="1">
        <v>200</v>
      </c>
      <c r="T189" s="182" t="s">
        <v>11</v>
      </c>
      <c r="U189" s="182"/>
      <c r="V189" s="182" t="s">
        <v>12</v>
      </c>
      <c r="W189" s="182"/>
      <c r="AD189" s="10"/>
      <c r="AE189" s="36">
        <f>SUM(AE190:AE193)</f>
        <v>7.1619999999999999</v>
      </c>
    </row>
    <row r="190" spans="2:31" s="1" customFormat="1">
      <c r="B190" s="13"/>
      <c r="C190" s="13"/>
      <c r="E190" s="183" t="s">
        <v>40</v>
      </c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4">
        <v>4</v>
      </c>
      <c r="U190" s="184"/>
      <c r="V190" s="184">
        <v>4</v>
      </c>
      <c r="W190" s="184"/>
      <c r="AD190" s="10">
        <v>380</v>
      </c>
      <c r="AE190" s="10">
        <f>AD190*T190/1000</f>
        <v>1.52</v>
      </c>
    </row>
    <row r="191" spans="2:31" s="1" customFormat="1">
      <c r="B191" s="13"/>
      <c r="C191" s="13"/>
      <c r="E191" s="185" t="s">
        <v>20</v>
      </c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7"/>
      <c r="T191" s="188">
        <v>15</v>
      </c>
      <c r="U191" s="189"/>
      <c r="V191" s="188">
        <v>15</v>
      </c>
      <c r="W191" s="189"/>
      <c r="AD191" s="10">
        <v>55</v>
      </c>
      <c r="AE191" s="10">
        <f t="shared" ref="AE191:AE193" si="19">AD191*T191/1000</f>
        <v>0.82499999999999996</v>
      </c>
    </row>
    <row r="192" spans="2:31" s="1" customFormat="1">
      <c r="B192" s="13"/>
      <c r="C192" s="13"/>
      <c r="E192" s="185" t="s">
        <v>41</v>
      </c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7"/>
      <c r="T192" s="188">
        <v>100</v>
      </c>
      <c r="U192" s="189"/>
      <c r="V192" s="188">
        <v>100</v>
      </c>
      <c r="W192" s="189"/>
      <c r="AD192" s="10">
        <v>48.17</v>
      </c>
      <c r="AE192" s="10">
        <f t="shared" si="19"/>
        <v>4.8170000000000002</v>
      </c>
    </row>
    <row r="193" spans="1:31">
      <c r="E193" s="185" t="s">
        <v>17</v>
      </c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7"/>
      <c r="T193" s="188">
        <v>81</v>
      </c>
      <c r="U193" s="189"/>
      <c r="V193" s="188">
        <v>81</v>
      </c>
      <c r="W193" s="189"/>
      <c r="AD193" s="10">
        <v>0</v>
      </c>
      <c r="AE193" s="10">
        <f t="shared" si="19"/>
        <v>0</v>
      </c>
    </row>
    <row r="194" spans="1:31">
      <c r="E194" s="190" t="s">
        <v>21</v>
      </c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1" t="s">
        <v>22</v>
      </c>
      <c r="U194" s="191"/>
      <c r="V194" s="192">
        <v>200</v>
      </c>
      <c r="W194" s="192"/>
    </row>
    <row r="196" spans="1:31">
      <c r="C196" s="13" t="s">
        <v>59</v>
      </c>
      <c r="D196" s="1">
        <v>40</v>
      </c>
      <c r="AD196" s="10">
        <v>54.14</v>
      </c>
      <c r="AE196" s="36">
        <f>D196*AD196/1000</f>
        <v>2.1656</v>
      </c>
    </row>
    <row r="198" spans="1:31">
      <c r="A198" s="13" t="s">
        <v>100</v>
      </c>
      <c r="B198" s="13" t="s">
        <v>1</v>
      </c>
    </row>
    <row r="199" spans="1:31">
      <c r="B199" s="38">
        <f>AE199+AE205+AE209+AE223+AE231+AE236</f>
        <v>82.764900000000011</v>
      </c>
      <c r="C199" s="13" t="s">
        <v>28</v>
      </c>
      <c r="D199" s="1">
        <v>40</v>
      </c>
      <c r="AE199" s="37">
        <f>AE200+AE201+AE202+AE203</f>
        <v>1.9912000000000001</v>
      </c>
    </row>
    <row r="200" spans="1:31">
      <c r="E200" s="237" t="s">
        <v>31</v>
      </c>
      <c r="F200" s="238"/>
      <c r="G200" s="238"/>
      <c r="H200" s="238"/>
      <c r="I200" s="238"/>
      <c r="J200" s="238"/>
      <c r="K200" s="238"/>
      <c r="L200" s="238"/>
      <c r="M200" s="238"/>
      <c r="N200" s="238"/>
      <c r="O200" s="238"/>
      <c r="P200" s="238"/>
      <c r="Q200" s="238"/>
      <c r="R200" s="238"/>
      <c r="S200" s="239"/>
      <c r="T200" s="233">
        <v>54</v>
      </c>
      <c r="U200" s="234"/>
      <c r="AD200" s="10">
        <v>30</v>
      </c>
      <c r="AE200" s="10">
        <f>AD200*T200/1000</f>
        <v>1.62</v>
      </c>
    </row>
    <row r="201" spans="1:31">
      <c r="E201" s="237" t="s">
        <v>32</v>
      </c>
      <c r="F201" s="238"/>
      <c r="G201" s="238"/>
      <c r="H201" s="238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9"/>
      <c r="T201" s="233">
        <v>2.5</v>
      </c>
      <c r="U201" s="234"/>
      <c r="AD201" s="10">
        <v>140</v>
      </c>
      <c r="AE201" s="10">
        <f t="shared" ref="AE201:AE203" si="20">AD201*T201/1000</f>
        <v>0.35</v>
      </c>
    </row>
    <row r="202" spans="1:31">
      <c r="E202" s="237" t="s">
        <v>19</v>
      </c>
      <c r="F202" s="238"/>
      <c r="G202" s="238"/>
      <c r="H202" s="238"/>
      <c r="I202" s="238"/>
      <c r="J202" s="238"/>
      <c r="K202" s="238"/>
      <c r="L202" s="238"/>
      <c r="M202" s="238"/>
      <c r="N202" s="238"/>
      <c r="O202" s="238"/>
      <c r="P202" s="238"/>
      <c r="Q202" s="238"/>
      <c r="R202" s="238"/>
      <c r="S202" s="239"/>
      <c r="T202" s="233">
        <v>0.6</v>
      </c>
      <c r="U202" s="234"/>
      <c r="AD202" s="10">
        <v>17</v>
      </c>
      <c r="AE202" s="10">
        <f t="shared" si="20"/>
        <v>1.0199999999999999E-2</v>
      </c>
    </row>
    <row r="203" spans="1:31">
      <c r="E203" s="237" t="s">
        <v>20</v>
      </c>
      <c r="F203" s="238"/>
      <c r="G203" s="238"/>
      <c r="H203" s="238"/>
      <c r="I203" s="238"/>
      <c r="J203" s="238"/>
      <c r="K203" s="238"/>
      <c r="L203" s="238"/>
      <c r="M203" s="238"/>
      <c r="N203" s="238"/>
      <c r="O203" s="238"/>
      <c r="P203" s="238"/>
      <c r="Q203" s="238"/>
      <c r="R203" s="238"/>
      <c r="S203" s="239"/>
      <c r="T203" s="235">
        <v>0.2</v>
      </c>
      <c r="U203" s="236"/>
      <c r="AD203" s="10">
        <v>55</v>
      </c>
      <c r="AE203" s="10">
        <f t="shared" si="20"/>
        <v>1.0999999999999999E-2</v>
      </c>
    </row>
    <row r="204" spans="1:31"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20"/>
      <c r="U204" s="20"/>
    </row>
    <row r="205" spans="1:31">
      <c r="C205" s="25" t="s">
        <v>189</v>
      </c>
      <c r="D205" s="74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20"/>
      <c r="U205" s="20">
        <v>20</v>
      </c>
      <c r="AD205" s="10">
        <v>140</v>
      </c>
      <c r="AE205" s="75">
        <f>U205*AD205/1000</f>
        <v>2.8</v>
      </c>
    </row>
    <row r="207" spans="1:31">
      <c r="C207" s="76" t="s">
        <v>76</v>
      </c>
      <c r="D207" s="30">
        <v>30</v>
      </c>
      <c r="E207" s="258" t="s">
        <v>77</v>
      </c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71">
        <v>32.4</v>
      </c>
      <c r="U207" s="271"/>
      <c r="V207" s="30"/>
      <c r="W207" s="30"/>
      <c r="X207" s="30"/>
      <c r="Y207" s="30"/>
      <c r="Z207" s="30"/>
      <c r="AA207" s="30"/>
      <c r="AB207" s="30"/>
      <c r="AC207" s="30"/>
      <c r="AD207" s="31">
        <v>160</v>
      </c>
      <c r="AE207" s="34">
        <f>T207*AD207/1000</f>
        <v>5.1840000000000002</v>
      </c>
    </row>
    <row r="209" spans="3:31" s="1" customFormat="1">
      <c r="C209" s="13" t="s">
        <v>101</v>
      </c>
      <c r="D209" s="1">
        <v>90</v>
      </c>
      <c r="T209" s="182" t="s">
        <v>11</v>
      </c>
      <c r="U209" s="182"/>
      <c r="V209" s="182" t="s">
        <v>12</v>
      </c>
      <c r="W209" s="182"/>
      <c r="AD209" s="10"/>
      <c r="AE209" s="37">
        <f>SUM(AE210:AE220)</f>
        <v>70.28</v>
      </c>
    </row>
    <row r="210" spans="3:31" s="1" customFormat="1">
      <c r="C210" s="13"/>
      <c r="E210" s="183" t="s">
        <v>63</v>
      </c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4">
        <v>124</v>
      </c>
      <c r="U210" s="184"/>
      <c r="V210" s="184">
        <v>92</v>
      </c>
      <c r="W210" s="184"/>
      <c r="AD210" s="10">
        <v>548</v>
      </c>
      <c r="AE210" s="10">
        <f>T210*AD210/1000</f>
        <v>67.951999999999998</v>
      </c>
    </row>
    <row r="211" spans="3:31" s="1" customFormat="1">
      <c r="C211" s="13"/>
      <c r="E211" s="185" t="s">
        <v>66</v>
      </c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7"/>
      <c r="T211" s="188">
        <v>9.5</v>
      </c>
      <c r="U211" s="189"/>
      <c r="V211" s="188">
        <v>8</v>
      </c>
      <c r="W211" s="189"/>
      <c r="AD211" s="10">
        <v>20</v>
      </c>
      <c r="AE211" s="10">
        <f t="shared" ref="AE211:AE220" si="21">T211*AD211/1000</f>
        <v>0.19</v>
      </c>
    </row>
    <row r="212" spans="3:31" s="1" customFormat="1">
      <c r="C212" s="13"/>
      <c r="E212" s="185" t="s">
        <v>17</v>
      </c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7"/>
      <c r="T212" s="188">
        <v>8</v>
      </c>
      <c r="U212" s="189"/>
      <c r="V212" s="188">
        <v>8</v>
      </c>
      <c r="W212" s="189"/>
      <c r="AD212" s="10">
        <v>0</v>
      </c>
      <c r="AE212" s="10">
        <f t="shared" si="21"/>
        <v>0</v>
      </c>
    </row>
    <row r="213" spans="3:31" s="1" customFormat="1">
      <c r="C213" s="13"/>
      <c r="E213" s="185" t="s">
        <v>102</v>
      </c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7"/>
      <c r="T213" s="188">
        <v>6.4</v>
      </c>
      <c r="U213" s="189"/>
      <c r="V213" s="188">
        <v>6.4</v>
      </c>
      <c r="W213" s="189"/>
      <c r="AD213" s="10">
        <v>140</v>
      </c>
      <c r="AE213" s="10">
        <f t="shared" si="21"/>
        <v>0.89600000000000002</v>
      </c>
    </row>
    <row r="214" spans="3:31" s="1" customFormat="1">
      <c r="C214" s="13"/>
      <c r="E214" s="185" t="s">
        <v>19</v>
      </c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7"/>
      <c r="T214" s="193">
        <v>0.6</v>
      </c>
      <c r="U214" s="194"/>
      <c r="V214" s="188">
        <v>0.6</v>
      </c>
      <c r="W214" s="189"/>
      <c r="AD214" s="10">
        <v>17</v>
      </c>
      <c r="AE214" s="10">
        <f t="shared" si="21"/>
        <v>1.0199999999999999E-2</v>
      </c>
    </row>
    <row r="215" spans="3:31" s="1" customFormat="1">
      <c r="C215" s="13"/>
      <c r="E215" s="272" t="s">
        <v>103</v>
      </c>
      <c r="F215" s="273"/>
      <c r="G215" s="273"/>
      <c r="H215" s="273"/>
      <c r="I215" s="273"/>
      <c r="J215" s="273"/>
      <c r="K215" s="273"/>
      <c r="L215" s="273"/>
      <c r="M215" s="273"/>
      <c r="N215" s="273"/>
      <c r="O215" s="273"/>
      <c r="P215" s="273"/>
      <c r="Q215" s="273"/>
      <c r="R215" s="273"/>
      <c r="S215" s="274"/>
      <c r="T215" s="188"/>
      <c r="U215" s="189"/>
      <c r="V215" s="188"/>
      <c r="W215" s="189"/>
      <c r="AD215" s="10"/>
      <c r="AE215" s="10">
        <f t="shared" si="21"/>
        <v>0</v>
      </c>
    </row>
    <row r="216" spans="3:31" s="1" customFormat="1">
      <c r="C216" s="13"/>
      <c r="E216" s="185" t="s">
        <v>16</v>
      </c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7"/>
      <c r="T216" s="188">
        <v>10</v>
      </c>
      <c r="U216" s="189"/>
      <c r="V216" s="188">
        <v>10</v>
      </c>
      <c r="W216" s="189"/>
      <c r="AD216" s="10">
        <v>48.17</v>
      </c>
      <c r="AE216" s="10">
        <f t="shared" si="21"/>
        <v>0.48170000000000007</v>
      </c>
    </row>
    <row r="217" spans="3:31" s="1" customFormat="1">
      <c r="C217" s="13"/>
      <c r="E217" s="185" t="s">
        <v>104</v>
      </c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7"/>
      <c r="T217" s="188">
        <v>5</v>
      </c>
      <c r="U217" s="189"/>
      <c r="V217" s="188">
        <v>5</v>
      </c>
      <c r="W217" s="189"/>
      <c r="AD217" s="10">
        <v>37</v>
      </c>
      <c r="AE217" s="10">
        <f t="shared" si="21"/>
        <v>0.185</v>
      </c>
    </row>
    <row r="218" spans="3:31" s="1" customFormat="1">
      <c r="C218" s="13"/>
      <c r="E218" s="185" t="s">
        <v>18</v>
      </c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7"/>
      <c r="T218" s="188">
        <v>1</v>
      </c>
      <c r="U218" s="189"/>
      <c r="V218" s="188">
        <v>1</v>
      </c>
      <c r="W218" s="189"/>
      <c r="AD218" s="10">
        <v>550</v>
      </c>
      <c r="AE218" s="10">
        <f t="shared" si="21"/>
        <v>0.55000000000000004</v>
      </c>
    </row>
    <row r="219" spans="3:31" s="1" customFormat="1">
      <c r="C219" s="13"/>
      <c r="E219" s="185" t="s">
        <v>105</v>
      </c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7"/>
      <c r="T219" s="212">
        <v>0.01</v>
      </c>
      <c r="U219" s="214"/>
      <c r="V219" s="212">
        <v>0.01</v>
      </c>
      <c r="W219" s="214"/>
      <c r="AD219" s="10">
        <v>1000</v>
      </c>
      <c r="AE219" s="10">
        <f t="shared" si="21"/>
        <v>0.01</v>
      </c>
    </row>
    <row r="220" spans="3:31" s="1" customFormat="1">
      <c r="C220" s="13"/>
      <c r="E220" s="183" t="s">
        <v>19</v>
      </c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4">
        <v>0.3</v>
      </c>
      <c r="U220" s="184"/>
      <c r="V220" s="245">
        <v>0.3</v>
      </c>
      <c r="W220" s="246"/>
      <c r="AD220" s="10">
        <v>17</v>
      </c>
      <c r="AE220" s="10">
        <f t="shared" si="21"/>
        <v>5.0999999999999995E-3</v>
      </c>
    </row>
    <row r="221" spans="3:31" s="1" customFormat="1">
      <c r="C221" s="13"/>
      <c r="E221" s="190" t="s">
        <v>21</v>
      </c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1" t="s">
        <v>22</v>
      </c>
      <c r="U221" s="191"/>
      <c r="V221" s="191">
        <v>90</v>
      </c>
      <c r="W221" s="191"/>
      <c r="AD221" s="10"/>
      <c r="AE221" s="10"/>
    </row>
    <row r="223" spans="3:31" s="1" customFormat="1">
      <c r="C223" s="13" t="s">
        <v>106</v>
      </c>
      <c r="D223" s="1">
        <v>150</v>
      </c>
      <c r="T223" s="182" t="s">
        <v>11</v>
      </c>
      <c r="U223" s="182"/>
      <c r="V223" s="182" t="s">
        <v>12</v>
      </c>
      <c r="W223" s="182"/>
      <c r="AD223" s="10"/>
      <c r="AE223" s="37">
        <f>SUM(AE224:AE228)</f>
        <v>4.7470999999999997</v>
      </c>
    </row>
    <row r="224" spans="3:31" s="1" customFormat="1">
      <c r="C224" s="13"/>
      <c r="E224" s="183" t="s">
        <v>38</v>
      </c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4">
        <v>16</v>
      </c>
      <c r="U224" s="184"/>
      <c r="V224" s="184">
        <v>16</v>
      </c>
      <c r="W224" s="184"/>
      <c r="AD224" s="10">
        <v>75</v>
      </c>
      <c r="AE224" s="10">
        <f>T224*AD224/1000</f>
        <v>1.2</v>
      </c>
    </row>
    <row r="225" spans="1:31">
      <c r="E225" s="185" t="s">
        <v>17</v>
      </c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7"/>
      <c r="T225" s="188">
        <v>120</v>
      </c>
      <c r="U225" s="189"/>
      <c r="V225" s="188">
        <v>120</v>
      </c>
      <c r="W225" s="189"/>
      <c r="AD225" s="10">
        <v>0</v>
      </c>
      <c r="AE225" s="10">
        <f t="shared" ref="AE225:AE228" si="22">T225*AD225/1000</f>
        <v>0</v>
      </c>
    </row>
    <row r="226" spans="1:31">
      <c r="E226" s="183" t="s">
        <v>51</v>
      </c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4">
        <v>18</v>
      </c>
      <c r="U226" s="184"/>
      <c r="V226" s="184">
        <v>18</v>
      </c>
      <c r="W226" s="184"/>
      <c r="AD226" s="10">
        <v>44</v>
      </c>
      <c r="AE226" s="10">
        <f t="shared" si="22"/>
        <v>0.79200000000000004</v>
      </c>
    </row>
    <row r="227" spans="1:31">
      <c r="E227" s="183" t="s">
        <v>19</v>
      </c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4">
        <v>0.3</v>
      </c>
      <c r="U227" s="184"/>
      <c r="V227" s="184">
        <v>0.3</v>
      </c>
      <c r="W227" s="184"/>
      <c r="AD227" s="10">
        <v>17</v>
      </c>
      <c r="AE227" s="10">
        <f t="shared" si="22"/>
        <v>5.0999999999999995E-3</v>
      </c>
    </row>
    <row r="228" spans="1:31">
      <c r="E228" s="183" t="s">
        <v>18</v>
      </c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4">
        <v>5</v>
      </c>
      <c r="U228" s="184"/>
      <c r="V228" s="184">
        <v>5</v>
      </c>
      <c r="W228" s="184"/>
      <c r="AD228" s="10">
        <v>550</v>
      </c>
      <c r="AE228" s="10">
        <f t="shared" si="22"/>
        <v>2.75</v>
      </c>
    </row>
    <row r="229" spans="1:31">
      <c r="E229" s="190" t="s">
        <v>21</v>
      </c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1" t="s">
        <v>22</v>
      </c>
      <c r="U229" s="191"/>
      <c r="V229" s="192">
        <v>150</v>
      </c>
      <c r="W229" s="192"/>
    </row>
    <row r="231" spans="1:31">
      <c r="C231" s="13" t="s">
        <v>57</v>
      </c>
      <c r="D231" s="1">
        <v>200</v>
      </c>
      <c r="T231" s="182" t="s">
        <v>11</v>
      </c>
      <c r="U231" s="182"/>
      <c r="V231" s="182" t="s">
        <v>12</v>
      </c>
      <c r="W231" s="182"/>
      <c r="AE231" s="37">
        <f>AE232+AE233</f>
        <v>1.125</v>
      </c>
    </row>
    <row r="232" spans="1:31">
      <c r="E232" s="183" t="s">
        <v>58</v>
      </c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4">
        <v>0.6</v>
      </c>
      <c r="U232" s="184"/>
      <c r="V232" s="184">
        <v>0.6</v>
      </c>
      <c r="W232" s="184"/>
      <c r="AD232" s="10">
        <v>500</v>
      </c>
      <c r="AE232" s="10">
        <f>AD232*T232/1000</f>
        <v>0.3</v>
      </c>
    </row>
    <row r="233" spans="1:31">
      <c r="E233" s="185" t="s">
        <v>20</v>
      </c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7"/>
      <c r="T233" s="188">
        <v>15</v>
      </c>
      <c r="U233" s="189"/>
      <c r="V233" s="188">
        <v>15</v>
      </c>
      <c r="W233" s="189"/>
      <c r="AD233" s="10">
        <v>55</v>
      </c>
      <c r="AE233" s="10">
        <f>AD233*T233/1000</f>
        <v>0.82499999999999996</v>
      </c>
    </row>
    <row r="234" spans="1:31">
      <c r="E234" s="190" t="s">
        <v>21</v>
      </c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1" t="s">
        <v>22</v>
      </c>
      <c r="U234" s="191"/>
      <c r="V234" s="192">
        <v>200</v>
      </c>
      <c r="W234" s="192"/>
    </row>
    <row r="236" spans="1:31">
      <c r="C236" s="13" t="s">
        <v>26</v>
      </c>
      <c r="D236" s="1">
        <v>40</v>
      </c>
      <c r="AD236" s="10">
        <v>45.54</v>
      </c>
      <c r="AE236" s="37">
        <f>D236*AD236/1000</f>
        <v>1.8215999999999999</v>
      </c>
    </row>
    <row r="238" spans="1:31">
      <c r="A238" s="13" t="s">
        <v>107</v>
      </c>
      <c r="B238" s="13" t="s">
        <v>1</v>
      </c>
    </row>
    <row r="239" spans="1:31">
      <c r="B239" s="46">
        <f>AE239+AE241+AE245+AE257+AE259</f>
        <v>79.123584210526317</v>
      </c>
      <c r="C239" s="13" t="s">
        <v>61</v>
      </c>
      <c r="D239" s="1">
        <v>100</v>
      </c>
      <c r="AD239" s="34">
        <v>200</v>
      </c>
      <c r="AE239" s="22">
        <f>D239*AD239/1000</f>
        <v>20</v>
      </c>
    </row>
    <row r="241" spans="3:31" s="1" customFormat="1">
      <c r="C241" s="13" t="s">
        <v>108</v>
      </c>
      <c r="D241" s="1">
        <v>30</v>
      </c>
      <c r="T241" s="40" t="s">
        <v>11</v>
      </c>
      <c r="U241" s="40" t="s">
        <v>12</v>
      </c>
      <c r="AD241" s="10"/>
      <c r="AE241" s="22">
        <f>AE242</f>
        <v>9.473684210526315</v>
      </c>
    </row>
    <row r="242" spans="3:31" s="1" customFormat="1">
      <c r="C242" s="13"/>
      <c r="E242" s="275" t="s">
        <v>109</v>
      </c>
      <c r="F242" s="276"/>
      <c r="G242" s="276"/>
      <c r="H242" s="276"/>
      <c r="I242" s="277"/>
      <c r="T242" s="41">
        <f>U243</f>
        <v>30</v>
      </c>
      <c r="U242" s="41">
        <f t="shared" ref="U242" si="23">T242</f>
        <v>30</v>
      </c>
      <c r="AD242" s="10">
        <v>120</v>
      </c>
      <c r="AE242" s="10">
        <f>AD242/380*T242</f>
        <v>9.473684210526315</v>
      </c>
    </row>
    <row r="243" spans="3:31" s="1" customFormat="1">
      <c r="C243" s="13"/>
      <c r="E243" s="278" t="s">
        <v>21</v>
      </c>
      <c r="F243" s="279"/>
      <c r="G243" s="279"/>
      <c r="H243" s="279"/>
      <c r="I243" s="280"/>
      <c r="T243" s="42" t="s">
        <v>22</v>
      </c>
      <c r="U243" s="43">
        <v>30</v>
      </c>
      <c r="AD243" s="10"/>
      <c r="AE243" s="10"/>
    </row>
    <row r="245" spans="3:31" s="1" customFormat="1">
      <c r="C245" s="13" t="s">
        <v>110</v>
      </c>
      <c r="D245" s="1">
        <v>170</v>
      </c>
      <c r="T245" s="182" t="s">
        <v>11</v>
      </c>
      <c r="U245" s="182"/>
      <c r="V245" s="182" t="s">
        <v>12</v>
      </c>
      <c r="W245" s="182"/>
      <c r="AD245" s="10"/>
      <c r="AE245" s="22">
        <f>SUM(AE246:AE254)</f>
        <v>38.484300000000005</v>
      </c>
    </row>
    <row r="246" spans="3:31" s="1" customFormat="1">
      <c r="C246" s="13"/>
      <c r="E246" s="183" t="s">
        <v>50</v>
      </c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211">
        <f>134*V255/170</f>
        <v>134</v>
      </c>
      <c r="U246" s="211"/>
      <c r="V246" s="211">
        <f>T246</f>
        <v>134</v>
      </c>
      <c r="W246" s="211"/>
      <c r="AD246" s="10">
        <v>239.45</v>
      </c>
      <c r="AE246" s="10">
        <f>AD246*T246/1000</f>
        <v>32.086300000000001</v>
      </c>
    </row>
    <row r="247" spans="3:31" s="1" customFormat="1">
      <c r="C247" s="13"/>
      <c r="E247" s="185" t="s">
        <v>38</v>
      </c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7"/>
      <c r="T247" s="212">
        <f>18*V255/170</f>
        <v>18</v>
      </c>
      <c r="U247" s="214"/>
      <c r="V247" s="211">
        <f t="shared" ref="V247:V254" si="24">T247</f>
        <v>18</v>
      </c>
      <c r="W247" s="211"/>
      <c r="AD247" s="10">
        <v>75</v>
      </c>
      <c r="AE247" s="10">
        <f t="shared" ref="AE247:AE254" si="25">AD247*T247/1000</f>
        <v>1.35</v>
      </c>
    </row>
    <row r="248" spans="3:31" s="1" customFormat="1">
      <c r="C248" s="13"/>
      <c r="E248" s="185" t="s">
        <v>16</v>
      </c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7"/>
      <c r="T248" s="212">
        <f>40*V255/170</f>
        <v>40</v>
      </c>
      <c r="U248" s="214"/>
      <c r="V248" s="211">
        <f t="shared" si="24"/>
        <v>40</v>
      </c>
      <c r="W248" s="211"/>
      <c r="AD248" s="10">
        <v>48.17</v>
      </c>
      <c r="AE248" s="10">
        <f t="shared" si="25"/>
        <v>1.9268000000000003</v>
      </c>
    </row>
    <row r="249" spans="3:31" s="1" customFormat="1">
      <c r="C249" s="13"/>
      <c r="E249" s="185" t="s">
        <v>53</v>
      </c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7"/>
      <c r="T249" s="212">
        <f>0.02*V255/170</f>
        <v>0.02</v>
      </c>
      <c r="U249" s="214"/>
      <c r="V249" s="211">
        <f t="shared" si="24"/>
        <v>0.02</v>
      </c>
      <c r="W249" s="211"/>
      <c r="AD249" s="10">
        <v>1200</v>
      </c>
      <c r="AE249" s="10">
        <f t="shared" si="25"/>
        <v>2.4E-2</v>
      </c>
    </row>
    <row r="250" spans="3:31" s="1" customFormat="1">
      <c r="C250" s="13"/>
      <c r="E250" s="185" t="s">
        <v>52</v>
      </c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7"/>
      <c r="T250" s="212">
        <f>9*V255/170</f>
        <v>9</v>
      </c>
      <c r="U250" s="214"/>
      <c r="V250" s="211">
        <f t="shared" si="24"/>
        <v>9</v>
      </c>
      <c r="W250" s="211"/>
      <c r="AD250" s="10">
        <v>140</v>
      </c>
      <c r="AE250" s="10">
        <f t="shared" si="25"/>
        <v>1.26</v>
      </c>
    </row>
    <row r="251" spans="3:31" s="1" customFormat="1">
      <c r="C251" s="13"/>
      <c r="E251" s="185" t="s">
        <v>20</v>
      </c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7"/>
      <c r="T251" s="212">
        <f>3*V255/170</f>
        <v>3</v>
      </c>
      <c r="U251" s="214"/>
      <c r="V251" s="211">
        <f t="shared" si="24"/>
        <v>3</v>
      </c>
      <c r="W251" s="211"/>
      <c r="AD251" s="10">
        <v>55</v>
      </c>
      <c r="AE251" s="10">
        <f t="shared" si="25"/>
        <v>0.16500000000000001</v>
      </c>
    </row>
    <row r="252" spans="3:31" s="1" customFormat="1">
      <c r="C252" s="13"/>
      <c r="E252" s="185" t="s">
        <v>55</v>
      </c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7"/>
      <c r="T252" s="212">
        <f>1.5*V255/170</f>
        <v>1.5</v>
      </c>
      <c r="U252" s="214"/>
      <c r="V252" s="211">
        <f t="shared" si="24"/>
        <v>1.5</v>
      </c>
      <c r="W252" s="211"/>
      <c r="AD252" s="10">
        <v>150</v>
      </c>
      <c r="AE252" s="10">
        <f t="shared" si="25"/>
        <v>0.22500000000000001</v>
      </c>
    </row>
    <row r="253" spans="3:31" s="1" customFormat="1">
      <c r="C253" s="13"/>
      <c r="E253" s="185" t="s">
        <v>54</v>
      </c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7"/>
      <c r="T253" s="212">
        <f>2*V255/170</f>
        <v>2</v>
      </c>
      <c r="U253" s="214"/>
      <c r="V253" s="211">
        <f t="shared" si="24"/>
        <v>2</v>
      </c>
      <c r="W253" s="211"/>
      <c r="AD253" s="10">
        <v>173.6</v>
      </c>
      <c r="AE253" s="10">
        <f t="shared" si="25"/>
        <v>0.34720000000000001</v>
      </c>
    </row>
    <row r="254" spans="3:31" s="1" customFormat="1">
      <c r="C254" s="13"/>
      <c r="E254" s="185" t="s">
        <v>18</v>
      </c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7"/>
      <c r="T254" s="212">
        <f>2*V255/170</f>
        <v>2</v>
      </c>
      <c r="U254" s="214"/>
      <c r="V254" s="211">
        <f t="shared" si="24"/>
        <v>2</v>
      </c>
      <c r="W254" s="211"/>
      <c r="AD254" s="10">
        <v>550</v>
      </c>
      <c r="AE254" s="10">
        <f t="shared" si="25"/>
        <v>1.1000000000000001</v>
      </c>
    </row>
    <row r="255" spans="3:31" s="1" customFormat="1">
      <c r="C255" s="13"/>
      <c r="E255" s="190" t="s">
        <v>21</v>
      </c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1" t="s">
        <v>22</v>
      </c>
      <c r="U255" s="191"/>
      <c r="V255" s="192">
        <v>170</v>
      </c>
      <c r="W255" s="192"/>
      <c r="AD255" s="10"/>
      <c r="AE255" s="10"/>
    </row>
    <row r="257" spans="1:31">
      <c r="C257" s="13" t="s">
        <v>92</v>
      </c>
      <c r="D257" s="1">
        <v>200</v>
      </c>
      <c r="E257" s="183" t="s">
        <v>93</v>
      </c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281">
        <v>200</v>
      </c>
      <c r="U257" s="281"/>
      <c r="V257" s="281">
        <v>200</v>
      </c>
      <c r="W257" s="281"/>
      <c r="AD257" s="10">
        <v>45</v>
      </c>
      <c r="AE257" s="22">
        <f>T257*AD257/1000</f>
        <v>9</v>
      </c>
    </row>
    <row r="259" spans="1:31">
      <c r="C259" s="13" t="s">
        <v>59</v>
      </c>
      <c r="D259" s="1">
        <v>40</v>
      </c>
      <c r="AD259" s="10">
        <v>54.14</v>
      </c>
      <c r="AE259" s="22">
        <f>D259*AD259/1000</f>
        <v>2.1656</v>
      </c>
    </row>
    <row r="261" spans="1:31">
      <c r="A261" s="13" t="s">
        <v>111</v>
      </c>
      <c r="B261" s="13" t="s">
        <v>1</v>
      </c>
      <c r="C261" s="76" t="s">
        <v>112</v>
      </c>
      <c r="D261" s="30">
        <v>30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195" t="s">
        <v>11</v>
      </c>
      <c r="U261" s="195"/>
      <c r="V261" s="195" t="s">
        <v>12</v>
      </c>
      <c r="W261" s="195"/>
      <c r="X261" s="30"/>
      <c r="Y261" s="30"/>
      <c r="Z261" s="30"/>
      <c r="AA261" s="30"/>
      <c r="AB261" s="30"/>
      <c r="AC261" s="30"/>
      <c r="AD261" s="31"/>
      <c r="AE261" s="80">
        <f>SUM(AE262:AE266)</f>
        <v>2.8307992700729927</v>
      </c>
    </row>
    <row r="262" spans="1:31">
      <c r="B262" s="45">
        <f>AE261+AE269+AE271+AE288+AE294+AE296+AE303</f>
        <v>75.420999270072997</v>
      </c>
      <c r="C262" s="76"/>
      <c r="D262" s="30"/>
      <c r="E262" s="196" t="s">
        <v>113</v>
      </c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7">
        <f>10*V267/30</f>
        <v>10</v>
      </c>
      <c r="U262" s="197"/>
      <c r="V262" s="197">
        <f>30*V267/30</f>
        <v>30</v>
      </c>
      <c r="W262" s="197"/>
      <c r="X262" s="30"/>
      <c r="Y262" s="30"/>
      <c r="Z262" s="30"/>
      <c r="AA262" s="30"/>
      <c r="AB262" s="30"/>
      <c r="AC262" s="30"/>
      <c r="AD262" s="31">
        <v>110</v>
      </c>
      <c r="AE262" s="31">
        <f>AD262/548*T262</f>
        <v>2.0072992700729926</v>
      </c>
    </row>
    <row r="263" spans="1:31">
      <c r="C263" s="76"/>
      <c r="D263" s="30"/>
      <c r="E263" s="253" t="s">
        <v>66</v>
      </c>
      <c r="F263" s="254"/>
      <c r="G263" s="254"/>
      <c r="H263" s="254"/>
      <c r="I263" s="254"/>
      <c r="J263" s="254"/>
      <c r="K263" s="254"/>
      <c r="L263" s="254"/>
      <c r="M263" s="254"/>
      <c r="N263" s="254"/>
      <c r="O263" s="254"/>
      <c r="P263" s="254"/>
      <c r="Q263" s="254"/>
      <c r="R263" s="254"/>
      <c r="S263" s="255"/>
      <c r="T263" s="251">
        <f>6*V267/30</f>
        <v>6</v>
      </c>
      <c r="U263" s="252"/>
      <c r="V263" s="251">
        <f>4*V267/30</f>
        <v>4</v>
      </c>
      <c r="W263" s="252"/>
      <c r="X263" s="30"/>
      <c r="Y263" s="30"/>
      <c r="Z263" s="30"/>
      <c r="AA263" s="30"/>
      <c r="AB263" s="30"/>
      <c r="AC263" s="30"/>
      <c r="AD263" s="31">
        <v>20</v>
      </c>
      <c r="AE263" s="31">
        <f t="shared" ref="AE263:AE266" si="26">T263*AD263/1000</f>
        <v>0.12</v>
      </c>
    </row>
    <row r="264" spans="1:31">
      <c r="C264" s="76"/>
      <c r="D264" s="30"/>
      <c r="E264" s="253" t="s">
        <v>32</v>
      </c>
      <c r="F264" s="254"/>
      <c r="G264" s="254"/>
      <c r="H264" s="254"/>
      <c r="I264" s="254"/>
      <c r="J264" s="254"/>
      <c r="K264" s="254"/>
      <c r="L264" s="254"/>
      <c r="M264" s="254"/>
      <c r="N264" s="254"/>
      <c r="O264" s="254"/>
      <c r="P264" s="254"/>
      <c r="Q264" s="254"/>
      <c r="R264" s="254"/>
      <c r="S264" s="255"/>
      <c r="T264" s="251">
        <f>4*V267/30</f>
        <v>4</v>
      </c>
      <c r="U264" s="252"/>
      <c r="V264" s="251">
        <f>T264</f>
        <v>4</v>
      </c>
      <c r="W264" s="252"/>
      <c r="X264" s="30"/>
      <c r="Y264" s="30"/>
      <c r="Z264" s="30"/>
      <c r="AA264" s="30"/>
      <c r="AB264" s="30"/>
      <c r="AC264" s="30"/>
      <c r="AD264" s="31">
        <v>140</v>
      </c>
      <c r="AE264" s="31">
        <f t="shared" si="26"/>
        <v>0.56000000000000005</v>
      </c>
    </row>
    <row r="265" spans="1:31">
      <c r="C265" s="76"/>
      <c r="D265" s="30"/>
      <c r="E265" s="253" t="s">
        <v>114</v>
      </c>
      <c r="F265" s="254"/>
      <c r="G265" s="254"/>
      <c r="H265" s="254"/>
      <c r="I265" s="254"/>
      <c r="J265" s="254"/>
      <c r="K265" s="254"/>
      <c r="L265" s="254"/>
      <c r="M265" s="254"/>
      <c r="N265" s="254"/>
      <c r="O265" s="254"/>
      <c r="P265" s="254"/>
      <c r="Q265" s="254"/>
      <c r="R265" s="254"/>
      <c r="S265" s="255"/>
      <c r="T265" s="251">
        <f>1*V267/30</f>
        <v>1</v>
      </c>
      <c r="U265" s="252"/>
      <c r="V265" s="251">
        <f>T265</f>
        <v>1</v>
      </c>
      <c r="W265" s="252"/>
      <c r="X265" s="30"/>
      <c r="Y265" s="30"/>
      <c r="Z265" s="30"/>
      <c r="AA265" s="30"/>
      <c r="AB265" s="30"/>
      <c r="AC265" s="30"/>
      <c r="AD265" s="31">
        <v>135</v>
      </c>
      <c r="AE265" s="31">
        <f t="shared" si="26"/>
        <v>0.13500000000000001</v>
      </c>
    </row>
    <row r="266" spans="1:31">
      <c r="C266" s="76"/>
      <c r="D266" s="30"/>
      <c r="E266" s="196" t="s">
        <v>19</v>
      </c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7">
        <f>0.5*V267/30</f>
        <v>0.5</v>
      </c>
      <c r="U266" s="197"/>
      <c r="V266" s="197">
        <f>T266</f>
        <v>0.5</v>
      </c>
      <c r="W266" s="197"/>
      <c r="X266" s="30"/>
      <c r="Y266" s="30"/>
      <c r="Z266" s="30"/>
      <c r="AA266" s="30"/>
      <c r="AB266" s="30"/>
      <c r="AC266" s="30"/>
      <c r="AD266" s="31">
        <v>17</v>
      </c>
      <c r="AE266" s="31">
        <f t="shared" si="26"/>
        <v>8.5000000000000006E-3</v>
      </c>
    </row>
    <row r="267" spans="1:31">
      <c r="C267" s="76"/>
      <c r="D267" s="30"/>
      <c r="E267" s="198" t="s">
        <v>21</v>
      </c>
      <c r="F267" s="198"/>
      <c r="G267" s="198"/>
      <c r="H267" s="198"/>
      <c r="I267" s="198"/>
      <c r="J267" s="198"/>
      <c r="K267" s="198"/>
      <c r="L267" s="198"/>
      <c r="M267" s="198"/>
      <c r="N267" s="198"/>
      <c r="O267" s="198"/>
      <c r="P267" s="198"/>
      <c r="Q267" s="198"/>
      <c r="R267" s="198"/>
      <c r="S267" s="198"/>
      <c r="T267" s="199" t="s">
        <v>22</v>
      </c>
      <c r="U267" s="199"/>
      <c r="V267" s="200">
        <v>30</v>
      </c>
      <c r="W267" s="200"/>
      <c r="X267" s="30"/>
      <c r="Y267" s="30"/>
      <c r="Z267" s="30"/>
      <c r="AA267" s="30"/>
      <c r="AB267" s="30"/>
      <c r="AC267" s="30"/>
      <c r="AD267" s="31"/>
      <c r="AE267" s="31"/>
    </row>
    <row r="269" spans="1:31">
      <c r="C269" s="13" t="s">
        <v>30</v>
      </c>
      <c r="D269" s="1">
        <v>40</v>
      </c>
      <c r="T269" s="1">
        <v>42</v>
      </c>
      <c r="AD269" s="10">
        <v>150</v>
      </c>
      <c r="AE269" s="39">
        <f>AD269*T269/1000</f>
        <v>6.3</v>
      </c>
    </row>
    <row r="271" spans="1:31">
      <c r="C271" s="13" t="s">
        <v>115</v>
      </c>
      <c r="D271" s="1" t="s">
        <v>116</v>
      </c>
      <c r="T271" s="182" t="s">
        <v>11</v>
      </c>
      <c r="U271" s="182"/>
      <c r="V271" s="182" t="s">
        <v>12</v>
      </c>
      <c r="W271" s="182"/>
      <c r="AE271" s="39">
        <f>SUM(AE272:AE285)</f>
        <v>46.551500000000004</v>
      </c>
    </row>
    <row r="272" spans="1:31">
      <c r="E272" s="183" t="s">
        <v>34</v>
      </c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4">
        <v>79</v>
      </c>
      <c r="U272" s="184"/>
      <c r="V272" s="184">
        <v>57</v>
      </c>
      <c r="W272" s="184"/>
      <c r="AD272" s="10">
        <v>548</v>
      </c>
      <c r="AE272" s="10">
        <f>T272*AD272/1000</f>
        <v>43.292000000000002</v>
      </c>
    </row>
    <row r="273" spans="3:31" s="1" customFormat="1">
      <c r="C273" s="13"/>
      <c r="E273" s="185" t="s">
        <v>117</v>
      </c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7"/>
      <c r="T273" s="188">
        <v>8</v>
      </c>
      <c r="U273" s="189"/>
      <c r="V273" s="188">
        <v>8</v>
      </c>
      <c r="W273" s="189"/>
      <c r="AD273" s="10">
        <v>0</v>
      </c>
      <c r="AE273" s="10">
        <f t="shared" ref="AE273:AE285" si="27">T273*AD273/1000</f>
        <v>0</v>
      </c>
    </row>
    <row r="274" spans="3:31" s="1" customFormat="1">
      <c r="C274" s="13"/>
      <c r="E274" s="185" t="s">
        <v>38</v>
      </c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7"/>
      <c r="T274" s="188">
        <v>7</v>
      </c>
      <c r="U274" s="189"/>
      <c r="V274" s="188">
        <v>9</v>
      </c>
      <c r="W274" s="189"/>
      <c r="AD274" s="10">
        <v>75</v>
      </c>
      <c r="AE274" s="10">
        <f t="shared" si="27"/>
        <v>0.52500000000000002</v>
      </c>
    </row>
    <row r="275" spans="3:31" s="1" customFormat="1">
      <c r="C275" s="13"/>
      <c r="E275" s="185" t="s">
        <v>66</v>
      </c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7"/>
      <c r="T275" s="188">
        <v>28</v>
      </c>
      <c r="U275" s="189"/>
      <c r="V275" s="188">
        <v>29</v>
      </c>
      <c r="W275" s="189"/>
      <c r="AD275" s="10">
        <v>20</v>
      </c>
      <c r="AE275" s="10">
        <f t="shared" si="27"/>
        <v>0.56000000000000005</v>
      </c>
    </row>
    <row r="276" spans="3:31" s="1" customFormat="1">
      <c r="C276" s="13"/>
      <c r="E276" s="185" t="s">
        <v>32</v>
      </c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7"/>
      <c r="T276" s="285">
        <v>4</v>
      </c>
      <c r="U276" s="286"/>
      <c r="V276" s="188">
        <v>5</v>
      </c>
      <c r="W276" s="189"/>
      <c r="AD276" s="10">
        <v>140</v>
      </c>
      <c r="AE276" s="10">
        <f t="shared" si="27"/>
        <v>0.56000000000000005</v>
      </c>
    </row>
    <row r="277" spans="3:31" s="1" customFormat="1">
      <c r="C277" s="13"/>
      <c r="E277" s="185" t="s">
        <v>104</v>
      </c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7"/>
      <c r="T277" s="188">
        <v>5</v>
      </c>
      <c r="U277" s="189"/>
      <c r="V277" s="188">
        <v>6</v>
      </c>
      <c r="W277" s="189"/>
      <c r="AD277" s="10">
        <v>37</v>
      </c>
      <c r="AE277" s="10">
        <f t="shared" si="27"/>
        <v>0.185</v>
      </c>
    </row>
    <row r="278" spans="3:31" s="1" customFormat="1">
      <c r="C278" s="13"/>
      <c r="E278" s="272" t="s">
        <v>118</v>
      </c>
      <c r="F278" s="273"/>
      <c r="G278" s="273"/>
      <c r="H278" s="273"/>
      <c r="I278" s="273"/>
      <c r="J278" s="273"/>
      <c r="K278" s="273"/>
      <c r="L278" s="273"/>
      <c r="M278" s="273"/>
      <c r="N278" s="273"/>
      <c r="O278" s="273"/>
      <c r="P278" s="273"/>
      <c r="Q278" s="273"/>
      <c r="R278" s="273"/>
      <c r="S278" s="274"/>
      <c r="T278" s="188"/>
      <c r="U278" s="189"/>
      <c r="V278" s="188"/>
      <c r="W278" s="189"/>
      <c r="AD278" s="10"/>
      <c r="AE278" s="10">
        <f t="shared" si="27"/>
        <v>0</v>
      </c>
    </row>
    <row r="279" spans="3:31" s="1" customFormat="1">
      <c r="C279" s="13"/>
      <c r="E279" s="185" t="s">
        <v>54</v>
      </c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7"/>
      <c r="T279" s="188">
        <v>4.5</v>
      </c>
      <c r="U279" s="189"/>
      <c r="V279" s="188">
        <v>4.5</v>
      </c>
      <c r="W279" s="189"/>
      <c r="AD279" s="10">
        <v>173.6</v>
      </c>
      <c r="AE279" s="10">
        <f t="shared" si="27"/>
        <v>0.78119999999999989</v>
      </c>
    </row>
    <row r="280" spans="3:31" s="1" customFormat="1">
      <c r="C280" s="13"/>
      <c r="E280" s="185" t="s">
        <v>104</v>
      </c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7"/>
      <c r="T280" s="188">
        <v>1.3</v>
      </c>
      <c r="U280" s="189"/>
      <c r="V280" s="188">
        <v>1.3</v>
      </c>
      <c r="W280" s="189"/>
      <c r="AD280" s="10">
        <v>37</v>
      </c>
      <c r="AE280" s="10">
        <f t="shared" si="27"/>
        <v>4.8100000000000004E-2</v>
      </c>
    </row>
    <row r="281" spans="3:31" s="1" customFormat="1">
      <c r="C281" s="13"/>
      <c r="E281" s="185" t="s">
        <v>17</v>
      </c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7"/>
      <c r="T281" s="188">
        <v>13.5</v>
      </c>
      <c r="U281" s="189"/>
      <c r="V281" s="188">
        <v>13.5</v>
      </c>
      <c r="W281" s="189"/>
      <c r="AD281" s="10">
        <v>0</v>
      </c>
      <c r="AE281" s="10">
        <f t="shared" si="27"/>
        <v>0</v>
      </c>
    </row>
    <row r="282" spans="3:31" s="1" customFormat="1">
      <c r="C282" s="13"/>
      <c r="E282" s="185" t="s">
        <v>66</v>
      </c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7"/>
      <c r="T282" s="188">
        <v>5</v>
      </c>
      <c r="U282" s="189"/>
      <c r="V282" s="188">
        <v>4</v>
      </c>
      <c r="W282" s="189"/>
      <c r="AD282" s="10">
        <v>20</v>
      </c>
      <c r="AE282" s="10">
        <f t="shared" si="27"/>
        <v>0.1</v>
      </c>
    </row>
    <row r="283" spans="3:31" s="1" customFormat="1">
      <c r="C283" s="13"/>
      <c r="E283" s="185" t="s">
        <v>18</v>
      </c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7"/>
      <c r="T283" s="188">
        <v>0.4</v>
      </c>
      <c r="U283" s="189"/>
      <c r="V283" s="188">
        <v>0.4</v>
      </c>
      <c r="W283" s="189"/>
      <c r="AD283" s="10">
        <v>550</v>
      </c>
      <c r="AE283" s="10">
        <f t="shared" si="27"/>
        <v>0.22</v>
      </c>
    </row>
    <row r="284" spans="3:31" s="1" customFormat="1">
      <c r="C284" s="13"/>
      <c r="E284" s="183" t="s">
        <v>19</v>
      </c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4">
        <v>0.6</v>
      </c>
      <c r="U284" s="184"/>
      <c r="V284" s="184">
        <v>0.6</v>
      </c>
      <c r="W284" s="184"/>
      <c r="AD284" s="10">
        <v>17</v>
      </c>
      <c r="AE284" s="10">
        <f t="shared" si="27"/>
        <v>1.0199999999999999E-2</v>
      </c>
    </row>
    <row r="285" spans="3:31" s="1" customFormat="1">
      <c r="C285" s="13"/>
      <c r="E285" s="282" t="s">
        <v>119</v>
      </c>
      <c r="F285" s="283"/>
      <c r="G285" s="283"/>
      <c r="H285" s="283"/>
      <c r="I285" s="283"/>
      <c r="J285" s="283"/>
      <c r="K285" s="283"/>
      <c r="L285" s="283"/>
      <c r="M285" s="283"/>
      <c r="N285" s="283"/>
      <c r="O285" s="283"/>
      <c r="P285" s="283"/>
      <c r="Q285" s="283"/>
      <c r="R285" s="283"/>
      <c r="S285" s="284"/>
      <c r="T285" s="287">
        <v>2</v>
      </c>
      <c r="U285" s="288"/>
      <c r="V285" s="287">
        <v>2</v>
      </c>
      <c r="W285" s="288"/>
      <c r="AD285" s="10">
        <v>135</v>
      </c>
      <c r="AE285" s="10">
        <f t="shared" si="27"/>
        <v>0.27</v>
      </c>
    </row>
    <row r="286" spans="3:31" s="1" customFormat="1">
      <c r="C286" s="13"/>
      <c r="E286" s="190" t="s">
        <v>21</v>
      </c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1" t="s">
        <v>22</v>
      </c>
      <c r="U286" s="191"/>
      <c r="V286" s="191" t="s">
        <v>116</v>
      </c>
      <c r="W286" s="191"/>
      <c r="AD286" s="10"/>
      <c r="AE286" s="10"/>
    </row>
    <row r="288" spans="3:31" s="1" customFormat="1">
      <c r="C288" s="13" t="s">
        <v>68</v>
      </c>
      <c r="D288" s="1">
        <v>150</v>
      </c>
      <c r="T288" s="182" t="s">
        <v>11</v>
      </c>
      <c r="U288" s="182"/>
      <c r="V288" s="182" t="s">
        <v>12</v>
      </c>
      <c r="W288" s="182"/>
      <c r="AD288" s="10"/>
      <c r="AE288" s="39">
        <f>SUM(AE289:AE291)</f>
        <v>4.5151000000000003</v>
      </c>
    </row>
    <row r="289" spans="3:31" s="1" customFormat="1">
      <c r="C289" s="13"/>
      <c r="E289" s="183" t="s">
        <v>69</v>
      </c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4">
        <v>52</v>
      </c>
      <c r="U289" s="184"/>
      <c r="V289" s="184">
        <v>52</v>
      </c>
      <c r="W289" s="184"/>
      <c r="AD289" s="10">
        <v>55</v>
      </c>
      <c r="AE289" s="10">
        <f>T289*AD289/1000</f>
        <v>2.86</v>
      </c>
    </row>
    <row r="290" spans="3:31" s="1" customFormat="1">
      <c r="C290" s="13"/>
      <c r="E290" s="183" t="s">
        <v>19</v>
      </c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4">
        <v>0.3</v>
      </c>
      <c r="U290" s="184"/>
      <c r="V290" s="184">
        <v>0.3</v>
      </c>
      <c r="W290" s="184"/>
      <c r="AD290" s="10">
        <v>17</v>
      </c>
      <c r="AE290" s="10">
        <f t="shared" ref="AE290:AE291" si="28">T290*AD290/1000</f>
        <v>5.0999999999999995E-3</v>
      </c>
    </row>
    <row r="291" spans="3:31" s="1" customFormat="1">
      <c r="C291" s="13"/>
      <c r="E291" s="183" t="s">
        <v>18</v>
      </c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4">
        <v>3</v>
      </c>
      <c r="U291" s="184"/>
      <c r="V291" s="184">
        <v>3</v>
      </c>
      <c r="W291" s="184"/>
      <c r="AD291" s="10">
        <v>550</v>
      </c>
      <c r="AE291" s="10">
        <f t="shared" si="28"/>
        <v>1.65</v>
      </c>
    </row>
    <row r="292" spans="3:31" s="1" customFormat="1">
      <c r="C292" s="13"/>
      <c r="E292" s="190" t="s">
        <v>21</v>
      </c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1" t="s">
        <v>22</v>
      </c>
      <c r="U292" s="191"/>
      <c r="V292" s="192">
        <v>150</v>
      </c>
      <c r="W292" s="192"/>
      <c r="AD292" s="10"/>
      <c r="AE292" s="10"/>
    </row>
    <row r="294" spans="3:31" s="1" customFormat="1">
      <c r="C294" s="13" t="s">
        <v>2</v>
      </c>
      <c r="D294" s="1">
        <v>100</v>
      </c>
      <c r="AD294" s="10">
        <v>62.4</v>
      </c>
      <c r="AE294" s="44">
        <f>AD294*D294/1000</f>
        <v>6.24</v>
      </c>
    </row>
    <row r="296" spans="3:31" s="1" customFormat="1">
      <c r="C296" s="13" t="s">
        <v>39</v>
      </c>
      <c r="D296" s="1">
        <v>200</v>
      </c>
      <c r="T296" s="182" t="s">
        <v>11</v>
      </c>
      <c r="U296" s="182"/>
      <c r="V296" s="182" t="s">
        <v>12</v>
      </c>
      <c r="W296" s="182"/>
      <c r="AD296" s="10"/>
      <c r="AE296" s="39">
        <f>SUM(AE297:AE300)</f>
        <v>7.1619999999999999</v>
      </c>
    </row>
    <row r="297" spans="3:31" s="1" customFormat="1">
      <c r="C297" s="13"/>
      <c r="E297" s="183" t="s">
        <v>40</v>
      </c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4">
        <v>4</v>
      </c>
      <c r="U297" s="184"/>
      <c r="V297" s="184">
        <v>4</v>
      </c>
      <c r="W297" s="184"/>
      <c r="AD297" s="10">
        <v>380</v>
      </c>
      <c r="AE297" s="10">
        <f>AD297*T297/1000</f>
        <v>1.52</v>
      </c>
    </row>
    <row r="298" spans="3:31" s="1" customFormat="1">
      <c r="C298" s="13"/>
      <c r="E298" s="185" t="s">
        <v>20</v>
      </c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7"/>
      <c r="T298" s="188">
        <v>15</v>
      </c>
      <c r="U298" s="189"/>
      <c r="V298" s="188">
        <v>15</v>
      </c>
      <c r="W298" s="189"/>
      <c r="AD298" s="10">
        <v>55</v>
      </c>
      <c r="AE298" s="10">
        <f t="shared" ref="AE298:AE300" si="29">AD298*T298/1000</f>
        <v>0.82499999999999996</v>
      </c>
    </row>
    <row r="299" spans="3:31" s="1" customFormat="1">
      <c r="C299" s="13"/>
      <c r="E299" s="185" t="s">
        <v>41</v>
      </c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7"/>
      <c r="T299" s="188">
        <v>100</v>
      </c>
      <c r="U299" s="189"/>
      <c r="V299" s="188">
        <v>100</v>
      </c>
      <c r="W299" s="189"/>
      <c r="AD299" s="10">
        <v>48.17</v>
      </c>
      <c r="AE299" s="10">
        <f t="shared" si="29"/>
        <v>4.8170000000000002</v>
      </c>
    </row>
    <row r="300" spans="3:31" s="1" customFormat="1">
      <c r="C300" s="13"/>
      <c r="E300" s="185" t="s">
        <v>17</v>
      </c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7"/>
      <c r="T300" s="188">
        <v>81</v>
      </c>
      <c r="U300" s="189"/>
      <c r="V300" s="188">
        <v>81</v>
      </c>
      <c r="W300" s="189"/>
      <c r="AD300" s="10">
        <v>0</v>
      </c>
      <c r="AE300" s="10">
        <f t="shared" si="29"/>
        <v>0</v>
      </c>
    </row>
    <row r="301" spans="3:31" s="1" customFormat="1">
      <c r="C301" s="13"/>
      <c r="E301" s="190" t="s">
        <v>21</v>
      </c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1" t="s">
        <v>22</v>
      </c>
      <c r="U301" s="191"/>
      <c r="V301" s="192">
        <v>200</v>
      </c>
      <c r="W301" s="192"/>
      <c r="AD301" s="10"/>
      <c r="AE301" s="10"/>
    </row>
    <row r="303" spans="3:31" s="1" customFormat="1">
      <c r="C303" s="13" t="s">
        <v>26</v>
      </c>
      <c r="D303" s="1">
        <v>40</v>
      </c>
      <c r="AD303" s="10">
        <v>45.54</v>
      </c>
      <c r="AE303" s="39">
        <f>D303*AD303/1000</f>
        <v>1.8215999999999999</v>
      </c>
    </row>
    <row r="305" spans="1:31">
      <c r="A305" s="13" t="s">
        <v>190</v>
      </c>
      <c r="B305" s="13">
        <f>AE305+AE310+AE312+AE321+AE323+AE328</f>
        <v>52.735199999999992</v>
      </c>
      <c r="C305" s="76" t="s">
        <v>74</v>
      </c>
      <c r="D305" s="30">
        <v>20</v>
      </c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195" t="s">
        <v>11</v>
      </c>
      <c r="U305" s="195"/>
      <c r="V305" s="195" t="s">
        <v>12</v>
      </c>
      <c r="W305" s="195"/>
      <c r="X305" s="30"/>
      <c r="Y305" s="30"/>
      <c r="Z305" s="30"/>
      <c r="AA305" s="30"/>
      <c r="AB305" s="30"/>
      <c r="AC305" s="30"/>
      <c r="AD305" s="31"/>
      <c r="AE305" s="81">
        <f>AE306</f>
        <v>5.25</v>
      </c>
    </row>
    <row r="306" spans="1:31">
      <c r="C306" s="76"/>
      <c r="D306" s="30"/>
      <c r="E306" s="196" t="s">
        <v>75</v>
      </c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6"/>
      <c r="R306" s="196"/>
      <c r="S306" s="196"/>
      <c r="T306" s="197">
        <f>21*V307/20</f>
        <v>21</v>
      </c>
      <c r="U306" s="197"/>
      <c r="V306" s="197">
        <f>T306</f>
        <v>21</v>
      </c>
      <c r="W306" s="197"/>
      <c r="X306" s="30"/>
      <c r="Y306" s="30"/>
      <c r="Z306" s="30"/>
      <c r="AA306" s="30"/>
      <c r="AB306" s="30"/>
      <c r="AC306" s="30"/>
      <c r="AD306" s="31">
        <v>250</v>
      </c>
      <c r="AE306" s="31">
        <f>T306*AD306/1000</f>
        <v>5.25</v>
      </c>
    </row>
    <row r="307" spans="1:31">
      <c r="C307" s="76"/>
      <c r="D307" s="30"/>
      <c r="E307" s="198" t="s">
        <v>21</v>
      </c>
      <c r="F307" s="198"/>
      <c r="G307" s="198"/>
      <c r="H307" s="198"/>
      <c r="I307" s="198"/>
      <c r="J307" s="198"/>
      <c r="K307" s="198"/>
      <c r="L307" s="198"/>
      <c r="M307" s="198"/>
      <c r="N307" s="198"/>
      <c r="O307" s="198"/>
      <c r="P307" s="198"/>
      <c r="Q307" s="198"/>
      <c r="R307" s="198"/>
      <c r="S307" s="198"/>
      <c r="T307" s="199" t="s">
        <v>22</v>
      </c>
      <c r="U307" s="199"/>
      <c r="V307" s="200">
        <v>20</v>
      </c>
      <c r="W307" s="200"/>
      <c r="X307" s="30"/>
      <c r="Y307" s="30"/>
      <c r="Z307" s="30"/>
      <c r="AA307" s="30"/>
      <c r="AB307" s="30"/>
      <c r="AC307" s="30"/>
      <c r="AD307" s="31"/>
      <c r="AE307" s="31"/>
    </row>
    <row r="308" spans="1:31">
      <c r="T308" s="201" t="s">
        <v>11</v>
      </c>
      <c r="U308" s="201"/>
      <c r="V308" s="201" t="s">
        <v>12</v>
      </c>
      <c r="W308" s="201"/>
    </row>
    <row r="310" spans="1:31">
      <c r="C310" s="13" t="s">
        <v>97</v>
      </c>
      <c r="D310" s="1">
        <v>20</v>
      </c>
      <c r="E310" s="183" t="s">
        <v>78</v>
      </c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4">
        <v>21</v>
      </c>
      <c r="U310" s="184"/>
      <c r="V310" s="184">
        <v>20</v>
      </c>
      <c r="W310" s="184"/>
      <c r="AD310" s="10">
        <v>430.2</v>
      </c>
      <c r="AE310" s="36">
        <f>T310*AD310/1000</f>
        <v>9.0341999999999985</v>
      </c>
    </row>
    <row r="312" spans="1:31">
      <c r="C312" s="13" t="s">
        <v>80</v>
      </c>
      <c r="D312" s="1">
        <v>200</v>
      </c>
      <c r="T312" s="182" t="s">
        <v>11</v>
      </c>
      <c r="U312" s="182"/>
      <c r="V312" s="182" t="s">
        <v>12</v>
      </c>
      <c r="W312" s="182"/>
      <c r="AE312" s="29">
        <f>SUM(AE313:AE318)</f>
        <v>21.160399999999996</v>
      </c>
    </row>
    <row r="313" spans="1:31">
      <c r="E313" s="183" t="s">
        <v>52</v>
      </c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4">
        <f>100*V319/200</f>
        <v>100</v>
      </c>
      <c r="U313" s="184"/>
      <c r="V313" s="184">
        <f t="shared" ref="V313:V318" si="30">T313</f>
        <v>100</v>
      </c>
      <c r="W313" s="184"/>
      <c r="AD313" s="10">
        <v>140</v>
      </c>
      <c r="AE313" s="10">
        <f>T313*AD313/1000</f>
        <v>14</v>
      </c>
    </row>
    <row r="314" spans="1:31">
      <c r="E314" s="185" t="s">
        <v>16</v>
      </c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7"/>
      <c r="T314" s="188">
        <f>80*V319/200</f>
        <v>80</v>
      </c>
      <c r="U314" s="189"/>
      <c r="V314" s="184">
        <f t="shared" si="30"/>
        <v>80</v>
      </c>
      <c r="W314" s="184"/>
      <c r="AD314" s="10">
        <v>48.17</v>
      </c>
      <c r="AE314" s="10">
        <f t="shared" ref="AE314:AE318" si="31">T314*AD314/1000</f>
        <v>3.8536000000000006</v>
      </c>
    </row>
    <row r="315" spans="1:31">
      <c r="E315" s="185" t="s">
        <v>18</v>
      </c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7"/>
      <c r="T315" s="188">
        <f>3*V319/200</f>
        <v>3</v>
      </c>
      <c r="U315" s="189"/>
      <c r="V315" s="184">
        <f t="shared" si="30"/>
        <v>3</v>
      </c>
      <c r="W315" s="184"/>
      <c r="AD315" s="10">
        <v>550</v>
      </c>
      <c r="AE315" s="10">
        <f t="shared" si="31"/>
        <v>1.65</v>
      </c>
    </row>
    <row r="316" spans="1:31">
      <c r="E316" s="185" t="s">
        <v>17</v>
      </c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7"/>
      <c r="T316" s="188">
        <f>45*V319/200</f>
        <v>45</v>
      </c>
      <c r="U316" s="189"/>
      <c r="V316" s="184">
        <f t="shared" si="30"/>
        <v>45</v>
      </c>
      <c r="W316" s="184"/>
      <c r="AE316" s="10">
        <f t="shared" si="31"/>
        <v>0</v>
      </c>
    </row>
    <row r="317" spans="1:31">
      <c r="E317" s="185" t="s">
        <v>18</v>
      </c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7"/>
      <c r="T317" s="193">
        <f>3*V319/200</f>
        <v>3</v>
      </c>
      <c r="U317" s="194"/>
      <c r="V317" s="184">
        <f t="shared" si="30"/>
        <v>3</v>
      </c>
      <c r="W317" s="184"/>
      <c r="AD317" s="10">
        <v>550</v>
      </c>
      <c r="AE317" s="10">
        <f t="shared" si="31"/>
        <v>1.65</v>
      </c>
    </row>
    <row r="318" spans="1:31">
      <c r="E318" s="183" t="s">
        <v>19</v>
      </c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4">
        <f>0.4*V319/200</f>
        <v>0.4</v>
      </c>
      <c r="U318" s="184"/>
      <c r="V318" s="184">
        <f t="shared" si="30"/>
        <v>0.4</v>
      </c>
      <c r="W318" s="184"/>
      <c r="AD318" s="10">
        <v>17</v>
      </c>
      <c r="AE318" s="10">
        <f t="shared" si="31"/>
        <v>6.8000000000000005E-3</v>
      </c>
    </row>
    <row r="319" spans="1:31">
      <c r="E319" s="190" t="s">
        <v>21</v>
      </c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1" t="s">
        <v>22</v>
      </c>
      <c r="U319" s="191"/>
      <c r="V319" s="192">
        <v>200</v>
      </c>
      <c r="W319" s="192"/>
    </row>
    <row r="321" spans="3:31" s="1" customFormat="1">
      <c r="C321" s="13" t="s">
        <v>95</v>
      </c>
      <c r="E321" s="183" t="s">
        <v>96</v>
      </c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4">
        <v>100</v>
      </c>
      <c r="U321" s="184"/>
      <c r="V321" s="184">
        <v>100</v>
      </c>
      <c r="W321" s="184"/>
      <c r="AD321" s="10">
        <v>140</v>
      </c>
      <c r="AE321" s="36">
        <f>T321*AD321/1000</f>
        <v>14</v>
      </c>
    </row>
    <row r="323" spans="3:31" s="1" customFormat="1">
      <c r="C323" s="13" t="s">
        <v>57</v>
      </c>
      <c r="D323" s="1">
        <v>200</v>
      </c>
      <c r="T323" s="182" t="s">
        <v>11</v>
      </c>
      <c r="U323" s="182"/>
      <c r="V323" s="182" t="s">
        <v>12</v>
      </c>
      <c r="W323" s="182"/>
      <c r="AD323" s="10"/>
      <c r="AE323" s="29">
        <f>AE324+AE325</f>
        <v>1.125</v>
      </c>
    </row>
    <row r="324" spans="3:31" s="1" customFormat="1">
      <c r="C324" s="13"/>
      <c r="E324" s="183" t="s">
        <v>58</v>
      </c>
      <c r="F324" s="183"/>
      <c r="G324" s="183"/>
      <c r="H324" s="183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4">
        <v>0.6</v>
      </c>
      <c r="U324" s="184"/>
      <c r="V324" s="184">
        <v>0.6</v>
      </c>
      <c r="W324" s="184"/>
      <c r="AD324" s="10">
        <v>500</v>
      </c>
      <c r="AE324" s="10">
        <f>AD324*T324/1000</f>
        <v>0.3</v>
      </c>
    </row>
    <row r="325" spans="3:31" s="1" customFormat="1">
      <c r="C325" s="13"/>
      <c r="E325" s="185" t="s">
        <v>20</v>
      </c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7"/>
      <c r="T325" s="188">
        <v>15</v>
      </c>
      <c r="U325" s="189"/>
      <c r="V325" s="188">
        <v>15</v>
      </c>
      <c r="W325" s="189"/>
      <c r="AD325" s="10">
        <v>55</v>
      </c>
      <c r="AE325" s="10">
        <f>AD325*T325/1000</f>
        <v>0.82499999999999996</v>
      </c>
    </row>
    <row r="326" spans="3:31" s="1" customFormat="1">
      <c r="C326" s="13"/>
      <c r="E326" s="190" t="s">
        <v>21</v>
      </c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1" t="s">
        <v>22</v>
      </c>
      <c r="U326" s="191"/>
      <c r="V326" s="192">
        <v>200</v>
      </c>
      <c r="W326" s="192"/>
      <c r="AD326" s="10"/>
      <c r="AE326" s="10"/>
    </row>
    <row r="328" spans="3:31" s="1" customFormat="1">
      <c r="C328" s="13" t="s">
        <v>59</v>
      </c>
      <c r="D328" s="1">
        <v>40</v>
      </c>
      <c r="AD328" s="10">
        <v>54.14</v>
      </c>
      <c r="AE328" s="29">
        <f>D328*AD328/1000</f>
        <v>2.1656</v>
      </c>
    </row>
  </sheetData>
  <mergeCells count="699">
    <mergeCell ref="E301:S301"/>
    <mergeCell ref="T301:U301"/>
    <mergeCell ref="V301:W301"/>
    <mergeCell ref="E299:S299"/>
    <mergeCell ref="T299:U299"/>
    <mergeCell ref="V299:W299"/>
    <mergeCell ref="E300:S300"/>
    <mergeCell ref="T300:U300"/>
    <mergeCell ref="V300:W300"/>
    <mergeCell ref="E297:S297"/>
    <mergeCell ref="T297:U297"/>
    <mergeCell ref="V297:W297"/>
    <mergeCell ref="E298:S298"/>
    <mergeCell ref="T298:U298"/>
    <mergeCell ref="V298:W298"/>
    <mergeCell ref="E292:S292"/>
    <mergeCell ref="T292:U292"/>
    <mergeCell ref="V292:W292"/>
    <mergeCell ref="T296:U296"/>
    <mergeCell ref="V296:W296"/>
    <mergeCell ref="E290:S290"/>
    <mergeCell ref="T290:U290"/>
    <mergeCell ref="V290:W290"/>
    <mergeCell ref="E291:S291"/>
    <mergeCell ref="T291:U291"/>
    <mergeCell ref="V291:W291"/>
    <mergeCell ref="T286:U286"/>
    <mergeCell ref="V286:W286"/>
    <mergeCell ref="T288:U288"/>
    <mergeCell ref="V288:W288"/>
    <mergeCell ref="E289:S289"/>
    <mergeCell ref="T289:U289"/>
    <mergeCell ref="V289:W289"/>
    <mergeCell ref="V284:W284"/>
    <mergeCell ref="T285:U285"/>
    <mergeCell ref="V285:W285"/>
    <mergeCell ref="T280:U280"/>
    <mergeCell ref="V280:W280"/>
    <mergeCell ref="T281:U281"/>
    <mergeCell ref="V281:W281"/>
    <mergeCell ref="T282:U282"/>
    <mergeCell ref="V282:W282"/>
    <mergeCell ref="T271:U271"/>
    <mergeCell ref="V271:W271"/>
    <mergeCell ref="T272:U272"/>
    <mergeCell ref="V272:W272"/>
    <mergeCell ref="T273:U273"/>
    <mergeCell ref="V273:W273"/>
    <mergeCell ref="E282:S282"/>
    <mergeCell ref="E283:S283"/>
    <mergeCell ref="E284:S284"/>
    <mergeCell ref="T277:U277"/>
    <mergeCell ref="V277:W277"/>
    <mergeCell ref="T278:U278"/>
    <mergeCell ref="V278:W278"/>
    <mergeCell ref="T279:U279"/>
    <mergeCell ref="V279:W279"/>
    <mergeCell ref="T274:U274"/>
    <mergeCell ref="V274:W274"/>
    <mergeCell ref="T275:U275"/>
    <mergeCell ref="V275:W275"/>
    <mergeCell ref="T276:U276"/>
    <mergeCell ref="V276:W276"/>
    <mergeCell ref="T283:U283"/>
    <mergeCell ref="V283:W283"/>
    <mergeCell ref="T284:U284"/>
    <mergeCell ref="E285:S285"/>
    <mergeCell ref="E286:S286"/>
    <mergeCell ref="E277:S277"/>
    <mergeCell ref="E278:S278"/>
    <mergeCell ref="E279:S279"/>
    <mergeCell ref="E280:S280"/>
    <mergeCell ref="E281:S281"/>
    <mergeCell ref="E272:S272"/>
    <mergeCell ref="E273:S273"/>
    <mergeCell ref="E274:S274"/>
    <mergeCell ref="E275:S275"/>
    <mergeCell ref="E276:S276"/>
    <mergeCell ref="E267:S267"/>
    <mergeCell ref="T261:U261"/>
    <mergeCell ref="V261:W261"/>
    <mergeCell ref="T262:U262"/>
    <mergeCell ref="V262:W262"/>
    <mergeCell ref="T263:U263"/>
    <mergeCell ref="V263:W263"/>
    <mergeCell ref="T264:U264"/>
    <mergeCell ref="V264:W264"/>
    <mergeCell ref="T265:U265"/>
    <mergeCell ref="V265:W265"/>
    <mergeCell ref="T266:U266"/>
    <mergeCell ref="V266:W266"/>
    <mergeCell ref="T267:U267"/>
    <mergeCell ref="V267:W267"/>
    <mergeCell ref="E262:S262"/>
    <mergeCell ref="E263:S263"/>
    <mergeCell ref="E264:S264"/>
    <mergeCell ref="E265:S265"/>
    <mergeCell ref="E266:S266"/>
    <mergeCell ref="T255:U255"/>
    <mergeCell ref="V255:W255"/>
    <mergeCell ref="E257:S257"/>
    <mergeCell ref="T257:U257"/>
    <mergeCell ref="V257:W257"/>
    <mergeCell ref="T252:U252"/>
    <mergeCell ref="V252:W252"/>
    <mergeCell ref="T253:U253"/>
    <mergeCell ref="V253:W253"/>
    <mergeCell ref="T254:U254"/>
    <mergeCell ref="V254:W254"/>
    <mergeCell ref="E254:S254"/>
    <mergeCell ref="E255:S255"/>
    <mergeCell ref="T250:U250"/>
    <mergeCell ref="V250:W250"/>
    <mergeCell ref="T251:U251"/>
    <mergeCell ref="V251:W251"/>
    <mergeCell ref="E249:S249"/>
    <mergeCell ref="E250:S250"/>
    <mergeCell ref="E251:S251"/>
    <mergeCell ref="E252:S252"/>
    <mergeCell ref="E253:S253"/>
    <mergeCell ref="T249:U249"/>
    <mergeCell ref="V249:W249"/>
    <mergeCell ref="E242:I242"/>
    <mergeCell ref="E243:I243"/>
    <mergeCell ref="E246:S246"/>
    <mergeCell ref="E247:S247"/>
    <mergeCell ref="E248:S248"/>
    <mergeCell ref="E233:S233"/>
    <mergeCell ref="T233:U233"/>
    <mergeCell ref="V233:W233"/>
    <mergeCell ref="E234:S234"/>
    <mergeCell ref="T234:U234"/>
    <mergeCell ref="V234:W234"/>
    <mergeCell ref="T245:U245"/>
    <mergeCell ref="V245:W245"/>
    <mergeCell ref="T246:U246"/>
    <mergeCell ref="V246:W246"/>
    <mergeCell ref="T247:U247"/>
    <mergeCell ref="V247:W247"/>
    <mergeCell ref="T248:U248"/>
    <mergeCell ref="V248:W248"/>
    <mergeCell ref="T231:U231"/>
    <mergeCell ref="V231:W231"/>
    <mergeCell ref="E232:S232"/>
    <mergeCell ref="T232:U232"/>
    <mergeCell ref="V232:W232"/>
    <mergeCell ref="E229:S229"/>
    <mergeCell ref="T223:U223"/>
    <mergeCell ref="V223:W223"/>
    <mergeCell ref="T224:U224"/>
    <mergeCell ref="V224:W224"/>
    <mergeCell ref="T225:U225"/>
    <mergeCell ref="V225:W225"/>
    <mergeCell ref="T226:U226"/>
    <mergeCell ref="V226:W226"/>
    <mergeCell ref="T227:U227"/>
    <mergeCell ref="V227:W227"/>
    <mergeCell ref="T228:U228"/>
    <mergeCell ref="V228:W228"/>
    <mergeCell ref="T229:U229"/>
    <mergeCell ref="V229:W229"/>
    <mergeCell ref="E224:S224"/>
    <mergeCell ref="E225:S225"/>
    <mergeCell ref="E226:S226"/>
    <mergeCell ref="E227:S227"/>
    <mergeCell ref="E228:S228"/>
    <mergeCell ref="T219:U219"/>
    <mergeCell ref="V219:W219"/>
    <mergeCell ref="T220:U220"/>
    <mergeCell ref="V220:W220"/>
    <mergeCell ref="T221:U221"/>
    <mergeCell ref="V221:W221"/>
    <mergeCell ref="T216:U216"/>
    <mergeCell ref="V216:W216"/>
    <mergeCell ref="T217:U217"/>
    <mergeCell ref="V217:W217"/>
    <mergeCell ref="T218:U218"/>
    <mergeCell ref="V218:W218"/>
    <mergeCell ref="E220:S220"/>
    <mergeCell ref="E221:S221"/>
    <mergeCell ref="V214:W214"/>
    <mergeCell ref="T215:U215"/>
    <mergeCell ref="V215:W215"/>
    <mergeCell ref="E215:S215"/>
    <mergeCell ref="E216:S216"/>
    <mergeCell ref="E217:S217"/>
    <mergeCell ref="E218:S218"/>
    <mergeCell ref="E219:S219"/>
    <mergeCell ref="T209:U209"/>
    <mergeCell ref="V209:W209"/>
    <mergeCell ref="T210:U210"/>
    <mergeCell ref="V210:W210"/>
    <mergeCell ref="T211:U211"/>
    <mergeCell ref="V211:W211"/>
    <mergeCell ref="T212:U212"/>
    <mergeCell ref="V212:W212"/>
    <mergeCell ref="T213:U213"/>
    <mergeCell ref="V213:W213"/>
    <mergeCell ref="E210:S210"/>
    <mergeCell ref="E211:S211"/>
    <mergeCell ref="E212:S212"/>
    <mergeCell ref="E213:S213"/>
    <mergeCell ref="E214:S214"/>
    <mergeCell ref="T214:U214"/>
    <mergeCell ref="E200:S200"/>
    <mergeCell ref="T200:U200"/>
    <mergeCell ref="E207:S207"/>
    <mergeCell ref="T207:U207"/>
    <mergeCell ref="E201:S201"/>
    <mergeCell ref="T201:U201"/>
    <mergeCell ref="E202:S202"/>
    <mergeCell ref="T202:U202"/>
    <mergeCell ref="E203:S203"/>
    <mergeCell ref="T203:U203"/>
    <mergeCell ref="E193:S193"/>
    <mergeCell ref="T193:U193"/>
    <mergeCell ref="V193:W193"/>
    <mergeCell ref="E194:S194"/>
    <mergeCell ref="T194:U194"/>
    <mergeCell ref="V194:W194"/>
    <mergeCell ref="E191:S191"/>
    <mergeCell ref="T191:U191"/>
    <mergeCell ref="V191:W191"/>
    <mergeCell ref="E192:S192"/>
    <mergeCell ref="T192:U192"/>
    <mergeCell ref="V192:W192"/>
    <mergeCell ref="T189:U189"/>
    <mergeCell ref="V189:W189"/>
    <mergeCell ref="E190:S190"/>
    <mergeCell ref="T190:U190"/>
    <mergeCell ref="V190:W190"/>
    <mergeCell ref="V184:W184"/>
    <mergeCell ref="T185:U185"/>
    <mergeCell ref="V185:W185"/>
    <mergeCell ref="T186:U186"/>
    <mergeCell ref="V186:W186"/>
    <mergeCell ref="E184:S184"/>
    <mergeCell ref="E185:S185"/>
    <mergeCell ref="E186:S186"/>
    <mergeCell ref="E187:S187"/>
    <mergeCell ref="T181:U181"/>
    <mergeCell ref="T182:U182"/>
    <mergeCell ref="T183:U183"/>
    <mergeCell ref="T184:U184"/>
    <mergeCell ref="T187:U187"/>
    <mergeCell ref="E179:S179"/>
    <mergeCell ref="T179:U179"/>
    <mergeCell ref="V179:W179"/>
    <mergeCell ref="E182:S182"/>
    <mergeCell ref="E183:S183"/>
    <mergeCell ref="V181:W181"/>
    <mergeCell ref="V182:W182"/>
    <mergeCell ref="V183:W183"/>
    <mergeCell ref="V187:W187"/>
    <mergeCell ref="E172:S172"/>
    <mergeCell ref="T172:U172"/>
    <mergeCell ref="V172:W172"/>
    <mergeCell ref="E177:S177"/>
    <mergeCell ref="T177:U177"/>
    <mergeCell ref="V177:W177"/>
    <mergeCell ref="V167:W167"/>
    <mergeCell ref="T168:U168"/>
    <mergeCell ref="V168:W168"/>
    <mergeCell ref="T169:U169"/>
    <mergeCell ref="V169:W169"/>
    <mergeCell ref="E167:S167"/>
    <mergeCell ref="E168:S168"/>
    <mergeCell ref="E169:S169"/>
    <mergeCell ref="E170:S170"/>
    <mergeCell ref="T165:U165"/>
    <mergeCell ref="T166:U166"/>
    <mergeCell ref="T167:U167"/>
    <mergeCell ref="T170:U170"/>
    <mergeCell ref="T162:U162"/>
    <mergeCell ref="V162:W162"/>
    <mergeCell ref="T163:U163"/>
    <mergeCell ref="V163:W163"/>
    <mergeCell ref="E166:S166"/>
    <mergeCell ref="V165:W165"/>
    <mergeCell ref="V166:W166"/>
    <mergeCell ref="V170:W170"/>
    <mergeCell ref="T161:U161"/>
    <mergeCell ref="V161:W161"/>
    <mergeCell ref="E161:S161"/>
    <mergeCell ref="E162:S162"/>
    <mergeCell ref="E163:S163"/>
    <mergeCell ref="T153:U153"/>
    <mergeCell ref="V153:W153"/>
    <mergeCell ref="T154:U154"/>
    <mergeCell ref="V154:W154"/>
    <mergeCell ref="T155:U155"/>
    <mergeCell ref="V155:W155"/>
    <mergeCell ref="T156:U156"/>
    <mergeCell ref="V156:W156"/>
    <mergeCell ref="T157:U157"/>
    <mergeCell ref="V157:W157"/>
    <mergeCell ref="T158:U158"/>
    <mergeCell ref="V158:W158"/>
    <mergeCell ref="T159:U159"/>
    <mergeCell ref="E156:S156"/>
    <mergeCell ref="E157:S157"/>
    <mergeCell ref="E158:S158"/>
    <mergeCell ref="E159:S159"/>
    <mergeCell ref="E160:S160"/>
    <mergeCell ref="T160:U160"/>
    <mergeCell ref="E151:S151"/>
    <mergeCell ref="T151:U151"/>
    <mergeCell ref="V151:W151"/>
    <mergeCell ref="E154:S154"/>
    <mergeCell ref="E155:S155"/>
    <mergeCell ref="E145:S145"/>
    <mergeCell ref="E146:S146"/>
    <mergeCell ref="E147:S147"/>
    <mergeCell ref="V159:W159"/>
    <mergeCell ref="V160:W160"/>
    <mergeCell ref="T144:U144"/>
    <mergeCell ref="V144:W144"/>
    <mergeCell ref="T145:U145"/>
    <mergeCell ref="V145:W145"/>
    <mergeCell ref="T146:U146"/>
    <mergeCell ref="V146:W146"/>
    <mergeCell ref="T147:U147"/>
    <mergeCell ref="V147:W147"/>
    <mergeCell ref="T138:U138"/>
    <mergeCell ref="V138:W138"/>
    <mergeCell ref="E140:S140"/>
    <mergeCell ref="T139:U139"/>
    <mergeCell ref="V139:W139"/>
    <mergeCell ref="T140:U140"/>
    <mergeCell ref="V140:W140"/>
    <mergeCell ref="E137:S137"/>
    <mergeCell ref="E138:S138"/>
    <mergeCell ref="T137:U137"/>
    <mergeCell ref="V137:W137"/>
    <mergeCell ref="V126:W126"/>
    <mergeCell ref="E127:S127"/>
    <mergeCell ref="T127:U127"/>
    <mergeCell ref="E129:S129"/>
    <mergeCell ref="T129:U129"/>
    <mergeCell ref="E124:S124"/>
    <mergeCell ref="E125:S125"/>
    <mergeCell ref="T136:U136"/>
    <mergeCell ref="V136:W136"/>
    <mergeCell ref="E132:S132"/>
    <mergeCell ref="E133:S133"/>
    <mergeCell ref="E134:S134"/>
    <mergeCell ref="E136:S136"/>
    <mergeCell ref="V129:W129"/>
    <mergeCell ref="T131:U131"/>
    <mergeCell ref="V131:W131"/>
    <mergeCell ref="T132:U132"/>
    <mergeCell ref="V132:W132"/>
    <mergeCell ref="T133:U133"/>
    <mergeCell ref="V133:W133"/>
    <mergeCell ref="T134:U134"/>
    <mergeCell ref="V134:W134"/>
    <mergeCell ref="T135:U135"/>
    <mergeCell ref="V135:W135"/>
    <mergeCell ref="T123:U123"/>
    <mergeCell ref="V123:W123"/>
    <mergeCell ref="T124:U124"/>
    <mergeCell ref="V124:W124"/>
    <mergeCell ref="T125:U125"/>
    <mergeCell ref="V125:W125"/>
    <mergeCell ref="E135:S135"/>
    <mergeCell ref="V115:W115"/>
    <mergeCell ref="T116:U116"/>
    <mergeCell ref="V116:W116"/>
    <mergeCell ref="T117:U117"/>
    <mergeCell ref="V117:W117"/>
    <mergeCell ref="E116:S116"/>
    <mergeCell ref="E117:S117"/>
    <mergeCell ref="E118:S118"/>
    <mergeCell ref="E119:S119"/>
    <mergeCell ref="T115:U115"/>
    <mergeCell ref="T118:U118"/>
    <mergeCell ref="V118:W118"/>
    <mergeCell ref="T119:U119"/>
    <mergeCell ref="V119:W119"/>
    <mergeCell ref="T128:U128"/>
    <mergeCell ref="V128:W128"/>
    <mergeCell ref="T126:U126"/>
    <mergeCell ref="E113:S113"/>
    <mergeCell ref="T109:U109"/>
    <mergeCell ref="V109:W109"/>
    <mergeCell ref="T110:U110"/>
    <mergeCell ref="V110:W110"/>
    <mergeCell ref="T111:U111"/>
    <mergeCell ref="V111:W111"/>
    <mergeCell ref="T112:U112"/>
    <mergeCell ref="V112:W112"/>
    <mergeCell ref="T113:U113"/>
    <mergeCell ref="V113:W113"/>
    <mergeCell ref="T107:U107"/>
    <mergeCell ref="V107:W107"/>
    <mergeCell ref="E110:S110"/>
    <mergeCell ref="E111:S111"/>
    <mergeCell ref="E112:S112"/>
    <mergeCell ref="T104:U104"/>
    <mergeCell ref="V104:W104"/>
    <mergeCell ref="T105:U105"/>
    <mergeCell ref="V105:W105"/>
    <mergeCell ref="T106:U106"/>
    <mergeCell ref="V106:W106"/>
    <mergeCell ref="T101:U101"/>
    <mergeCell ref="V101:W101"/>
    <mergeCell ref="T102:U102"/>
    <mergeCell ref="V102:W102"/>
    <mergeCell ref="T103:U103"/>
    <mergeCell ref="V103:W103"/>
    <mergeCell ref="T98:U98"/>
    <mergeCell ref="V98:W98"/>
    <mergeCell ref="T99:U99"/>
    <mergeCell ref="V99:W99"/>
    <mergeCell ref="T100:U100"/>
    <mergeCell ref="V100:W100"/>
    <mergeCell ref="E103:S103"/>
    <mergeCell ref="E104:S104"/>
    <mergeCell ref="E105:S105"/>
    <mergeCell ref="E106:S106"/>
    <mergeCell ref="E107:S107"/>
    <mergeCell ref="E99:S99"/>
    <mergeCell ref="E100:S100"/>
    <mergeCell ref="E101:S101"/>
    <mergeCell ref="E102:S102"/>
    <mergeCell ref="E89:S89"/>
    <mergeCell ref="E90:S90"/>
    <mergeCell ref="E91:S91"/>
    <mergeCell ref="T88:U88"/>
    <mergeCell ref="V88:W88"/>
    <mergeCell ref="T89:U89"/>
    <mergeCell ref="V89:W89"/>
    <mergeCell ref="T90:U90"/>
    <mergeCell ref="V90:W90"/>
    <mergeCell ref="T91:U91"/>
    <mergeCell ref="V91:W91"/>
    <mergeCell ref="E85:S85"/>
    <mergeCell ref="E86:S86"/>
    <mergeCell ref="V84:W84"/>
    <mergeCell ref="T85:U85"/>
    <mergeCell ref="V85:W85"/>
    <mergeCell ref="T86:U86"/>
    <mergeCell ref="V86:W86"/>
    <mergeCell ref="V81:W81"/>
    <mergeCell ref="T82:U82"/>
    <mergeCell ref="V82:W82"/>
    <mergeCell ref="T83:U83"/>
    <mergeCell ref="V83:W83"/>
    <mergeCell ref="T78:U78"/>
    <mergeCell ref="T81:U81"/>
    <mergeCell ref="T84:U84"/>
    <mergeCell ref="E78:S78"/>
    <mergeCell ref="E79:S79"/>
    <mergeCell ref="E80:S80"/>
    <mergeCell ref="E81:S81"/>
    <mergeCell ref="E82:S82"/>
    <mergeCell ref="V78:W78"/>
    <mergeCell ref="T79:U79"/>
    <mergeCell ref="V79:W79"/>
    <mergeCell ref="T80:U80"/>
    <mergeCell ref="V80:W80"/>
    <mergeCell ref="E83:S83"/>
    <mergeCell ref="E84:S84"/>
    <mergeCell ref="T72:U72"/>
    <mergeCell ref="V72:W72"/>
    <mergeCell ref="E75:S75"/>
    <mergeCell ref="E76:S76"/>
    <mergeCell ref="E77:S77"/>
    <mergeCell ref="V74:W74"/>
    <mergeCell ref="V75:W75"/>
    <mergeCell ref="V76:W76"/>
    <mergeCell ref="V77:W77"/>
    <mergeCell ref="T74:U74"/>
    <mergeCell ref="T75:U75"/>
    <mergeCell ref="T76:U76"/>
    <mergeCell ref="T77:U77"/>
    <mergeCell ref="V54:W54"/>
    <mergeCell ref="T55:U55"/>
    <mergeCell ref="V55:W55"/>
    <mergeCell ref="T56:U56"/>
    <mergeCell ref="V56:W56"/>
    <mergeCell ref="E71:S71"/>
    <mergeCell ref="T70:U70"/>
    <mergeCell ref="V70:W70"/>
    <mergeCell ref="T71:U71"/>
    <mergeCell ref="V71:W71"/>
    <mergeCell ref="V68:W68"/>
    <mergeCell ref="T64:U64"/>
    <mergeCell ref="V64:W64"/>
    <mergeCell ref="V65:W65"/>
    <mergeCell ref="T66:U66"/>
    <mergeCell ref="V66:W66"/>
    <mergeCell ref="T67:U67"/>
    <mergeCell ref="V67:W67"/>
    <mergeCell ref="E65:S65"/>
    <mergeCell ref="E66:S66"/>
    <mergeCell ref="E67:S67"/>
    <mergeCell ref="E68:S68"/>
    <mergeCell ref="T65:U65"/>
    <mergeCell ref="T68:U68"/>
    <mergeCell ref="E55:S55"/>
    <mergeCell ref="E56:S56"/>
    <mergeCell ref="E57:S57"/>
    <mergeCell ref="E58:S58"/>
    <mergeCell ref="E59:S59"/>
    <mergeCell ref="E51:S51"/>
    <mergeCell ref="E52:S52"/>
    <mergeCell ref="T48:U48"/>
    <mergeCell ref="V48:W48"/>
    <mergeCell ref="T49:U49"/>
    <mergeCell ref="V49:W49"/>
    <mergeCell ref="T50:U50"/>
    <mergeCell ref="V50:W50"/>
    <mergeCell ref="T51:U51"/>
    <mergeCell ref="V51:W51"/>
    <mergeCell ref="T52:U52"/>
    <mergeCell ref="V52:W52"/>
    <mergeCell ref="T57:U57"/>
    <mergeCell ref="V57:W57"/>
    <mergeCell ref="T58:U58"/>
    <mergeCell ref="V58:W58"/>
    <mergeCell ref="T59:U59"/>
    <mergeCell ref="V59:W59"/>
    <mergeCell ref="T54:U54"/>
    <mergeCell ref="E49:S49"/>
    <mergeCell ref="E50:S50"/>
    <mergeCell ref="E45:S45"/>
    <mergeCell ref="E46:S46"/>
    <mergeCell ref="T40:U40"/>
    <mergeCell ref="V40:W40"/>
    <mergeCell ref="T41:U41"/>
    <mergeCell ref="V41:W41"/>
    <mergeCell ref="T42:U42"/>
    <mergeCell ref="V42:W42"/>
    <mergeCell ref="T43:U43"/>
    <mergeCell ref="V43:W43"/>
    <mergeCell ref="T44:U44"/>
    <mergeCell ref="V44:W44"/>
    <mergeCell ref="T45:U45"/>
    <mergeCell ref="V45:W45"/>
    <mergeCell ref="T46:U46"/>
    <mergeCell ref="V46:W46"/>
    <mergeCell ref="E40:S40"/>
    <mergeCell ref="E41:S41"/>
    <mergeCell ref="E42:S42"/>
    <mergeCell ref="E43:S43"/>
    <mergeCell ref="E44:S44"/>
    <mergeCell ref="T30:U30"/>
    <mergeCell ref="T31:U31"/>
    <mergeCell ref="T32:U32"/>
    <mergeCell ref="E29:S29"/>
    <mergeCell ref="E30:S30"/>
    <mergeCell ref="E31:S31"/>
    <mergeCell ref="E32:S32"/>
    <mergeCell ref="T38:W38"/>
    <mergeCell ref="T39:U39"/>
    <mergeCell ref="V39:W39"/>
    <mergeCell ref="T24:U24"/>
    <mergeCell ref="V24:W24"/>
    <mergeCell ref="X24:Y24"/>
    <mergeCell ref="Z24:AA24"/>
    <mergeCell ref="T29:U29"/>
    <mergeCell ref="T22:U22"/>
    <mergeCell ref="V22:W22"/>
    <mergeCell ref="X22:Y22"/>
    <mergeCell ref="Z22:AA22"/>
    <mergeCell ref="T23:U23"/>
    <mergeCell ref="V23:W23"/>
    <mergeCell ref="X23:Y23"/>
    <mergeCell ref="Z23:AA23"/>
    <mergeCell ref="I24:L24"/>
    <mergeCell ref="M24:P24"/>
    <mergeCell ref="E24:H24"/>
    <mergeCell ref="I17:L19"/>
    <mergeCell ref="M17:P19"/>
    <mergeCell ref="I20:L20"/>
    <mergeCell ref="M20:P20"/>
    <mergeCell ref="I21:L21"/>
    <mergeCell ref="E22:H22"/>
    <mergeCell ref="E23:H23"/>
    <mergeCell ref="E21:H21"/>
    <mergeCell ref="E17:H19"/>
    <mergeCell ref="M21:P21"/>
    <mergeCell ref="E20:H20"/>
    <mergeCell ref="E15:S15"/>
    <mergeCell ref="T15:U15"/>
    <mergeCell ref="V15:W15"/>
    <mergeCell ref="X15:AA15"/>
    <mergeCell ref="AB15:AC15"/>
    <mergeCell ref="I22:L22"/>
    <mergeCell ref="M22:P22"/>
    <mergeCell ref="I23:L23"/>
    <mergeCell ref="M23:P23"/>
    <mergeCell ref="T20:U20"/>
    <mergeCell ref="V20:W20"/>
    <mergeCell ref="X20:Y20"/>
    <mergeCell ref="Z20:AA20"/>
    <mergeCell ref="T21:U21"/>
    <mergeCell ref="V21:W21"/>
    <mergeCell ref="X21:Y21"/>
    <mergeCell ref="Z21:AA21"/>
    <mergeCell ref="T17:AA17"/>
    <mergeCell ref="T18:W18"/>
    <mergeCell ref="X18:AA18"/>
    <mergeCell ref="T19:U19"/>
    <mergeCell ref="V19:W19"/>
    <mergeCell ref="X19:Y19"/>
    <mergeCell ref="Z19:AA19"/>
    <mergeCell ref="V13:W13"/>
    <mergeCell ref="X13:AA13"/>
    <mergeCell ref="AB13:AC13"/>
    <mergeCell ref="T13:U13"/>
    <mergeCell ref="E14:S14"/>
    <mergeCell ref="T14:U14"/>
    <mergeCell ref="V14:W14"/>
    <mergeCell ref="X14:AA14"/>
    <mergeCell ref="AB14:AC14"/>
    <mergeCell ref="E11:S11"/>
    <mergeCell ref="T11:U11"/>
    <mergeCell ref="V11:W11"/>
    <mergeCell ref="X11:AA11"/>
    <mergeCell ref="AB11:AC11"/>
    <mergeCell ref="E12:S12"/>
    <mergeCell ref="T12:U12"/>
    <mergeCell ref="V12:W12"/>
    <mergeCell ref="X12:AA12"/>
    <mergeCell ref="AB12:AC12"/>
    <mergeCell ref="E9:S9"/>
    <mergeCell ref="T9:U9"/>
    <mergeCell ref="V9:W9"/>
    <mergeCell ref="X9:AA9"/>
    <mergeCell ref="AB9:AC9"/>
    <mergeCell ref="T10:U10"/>
    <mergeCell ref="V10:W10"/>
    <mergeCell ref="X10:AA10"/>
    <mergeCell ref="AB10:AC10"/>
    <mergeCell ref="E5:S7"/>
    <mergeCell ref="T5:AC5"/>
    <mergeCell ref="T6:W6"/>
    <mergeCell ref="X6:AC6"/>
    <mergeCell ref="T7:U7"/>
    <mergeCell ref="V7:W7"/>
    <mergeCell ref="X7:AA7"/>
    <mergeCell ref="AB7:AC7"/>
    <mergeCell ref="E8:S8"/>
    <mergeCell ref="T8:U8"/>
    <mergeCell ref="V8:W8"/>
    <mergeCell ref="X8:AA8"/>
    <mergeCell ref="AB8:AC8"/>
    <mergeCell ref="T305:U305"/>
    <mergeCell ref="V305:W305"/>
    <mergeCell ref="E306:S306"/>
    <mergeCell ref="T306:U306"/>
    <mergeCell ref="V306:W306"/>
    <mergeCell ref="E307:S307"/>
    <mergeCell ref="T307:U307"/>
    <mergeCell ref="V307:W307"/>
    <mergeCell ref="T308:U308"/>
    <mergeCell ref="V308:W308"/>
    <mergeCell ref="E310:S310"/>
    <mergeCell ref="T310:U310"/>
    <mergeCell ref="V310:W310"/>
    <mergeCell ref="T312:U312"/>
    <mergeCell ref="V312:W312"/>
    <mergeCell ref="E313:S313"/>
    <mergeCell ref="T313:U313"/>
    <mergeCell ref="V313:W313"/>
    <mergeCell ref="E314:S314"/>
    <mergeCell ref="T314:U314"/>
    <mergeCell ref="V314:W314"/>
    <mergeCell ref="E315:S315"/>
    <mergeCell ref="T315:U315"/>
    <mergeCell ref="V315:W315"/>
    <mergeCell ref="E316:S316"/>
    <mergeCell ref="T316:U316"/>
    <mergeCell ref="V316:W316"/>
    <mergeCell ref="E317:S317"/>
    <mergeCell ref="T317:U317"/>
    <mergeCell ref="V317:W317"/>
    <mergeCell ref="E318:S318"/>
    <mergeCell ref="T318:U318"/>
    <mergeCell ref="V318:W318"/>
    <mergeCell ref="E319:S319"/>
    <mergeCell ref="T319:U319"/>
    <mergeCell ref="V319:W319"/>
    <mergeCell ref="E321:S321"/>
    <mergeCell ref="T321:U321"/>
    <mergeCell ref="V321:W321"/>
    <mergeCell ref="T323:U323"/>
    <mergeCell ref="V323:W323"/>
    <mergeCell ref="E324:S324"/>
    <mergeCell ref="T324:U324"/>
    <mergeCell ref="V324:W324"/>
    <mergeCell ref="E325:S325"/>
    <mergeCell ref="T325:U325"/>
    <mergeCell ref="V325:W325"/>
    <mergeCell ref="E326:S326"/>
    <mergeCell ref="T326:U326"/>
    <mergeCell ref="V326:W326"/>
  </mergeCells>
  <pageMargins left="0.11811023622047245" right="0.11811023622047245" top="0.15748031496062992" bottom="0.15748031496062992" header="0.31496062992125984" footer="0.31496062992125984"/>
  <pageSetup paperSize="9" scale="8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23"/>
  <sheetViews>
    <sheetView workbookViewId="0">
      <selection activeCell="G11" sqref="G11"/>
    </sheetView>
  </sheetViews>
  <sheetFormatPr defaultRowHeight="15"/>
  <cols>
    <col min="2" max="2" width="35.28515625" customWidth="1"/>
  </cols>
  <sheetData>
    <row r="2" spans="2:10" ht="20.25">
      <c r="B2" s="132" t="s">
        <v>372</v>
      </c>
    </row>
    <row r="3" spans="2:10" ht="18">
      <c r="B3" s="136" t="s">
        <v>373</v>
      </c>
    </row>
    <row r="4" spans="2:10" ht="15.75" thickBot="1"/>
    <row r="5" spans="2:10" ht="25.5" customHeight="1" thickBot="1">
      <c r="B5" s="378" t="s">
        <v>374</v>
      </c>
      <c r="C5" s="380" t="s">
        <v>375</v>
      </c>
      <c r="D5" s="381"/>
      <c r="E5" s="381"/>
      <c r="F5" s="381"/>
      <c r="G5" s="381"/>
      <c r="H5" s="381"/>
      <c r="I5" s="381"/>
      <c r="J5" s="382"/>
    </row>
    <row r="6" spans="2:10" ht="68.25" thickBot="1">
      <c r="B6" s="379"/>
      <c r="C6" s="125" t="s">
        <v>376</v>
      </c>
      <c r="D6" s="125" t="s">
        <v>377</v>
      </c>
      <c r="E6" s="138" t="s">
        <v>399</v>
      </c>
      <c r="F6" s="138" t="s">
        <v>396</v>
      </c>
      <c r="G6" s="138" t="s">
        <v>397</v>
      </c>
      <c r="H6" s="138" t="s">
        <v>398</v>
      </c>
      <c r="I6" s="138"/>
      <c r="J6" s="140" t="s">
        <v>378</v>
      </c>
    </row>
    <row r="7" spans="2:10" ht="19.5" customHeight="1" thickBot="1">
      <c r="B7" s="133" t="s">
        <v>379</v>
      </c>
      <c r="C7" s="125">
        <v>42</v>
      </c>
      <c r="D7" s="125">
        <v>54</v>
      </c>
      <c r="E7" s="138">
        <v>77</v>
      </c>
      <c r="F7" s="138"/>
      <c r="G7" s="138"/>
      <c r="H7" s="138"/>
      <c r="I7" s="138"/>
      <c r="J7" s="140">
        <v>90</v>
      </c>
    </row>
    <row r="8" spans="2:10" ht="19.5" customHeight="1" thickBot="1">
      <c r="B8" s="133" t="s">
        <v>380</v>
      </c>
      <c r="C8" s="125">
        <v>47</v>
      </c>
      <c r="D8" s="125">
        <v>60</v>
      </c>
      <c r="E8" s="138">
        <v>79</v>
      </c>
      <c r="F8" s="138"/>
      <c r="G8" s="138"/>
      <c r="H8" s="138"/>
      <c r="I8" s="138"/>
      <c r="J8" s="140">
        <v>92</v>
      </c>
    </row>
    <row r="9" spans="2:10" ht="19.5" customHeight="1" thickBot="1">
      <c r="B9" s="133" t="s">
        <v>381</v>
      </c>
      <c r="C9" s="125">
        <v>203</v>
      </c>
      <c r="D9" s="125">
        <v>261</v>
      </c>
      <c r="E9" s="138">
        <v>335</v>
      </c>
      <c r="F9" s="138"/>
      <c r="G9" s="138"/>
      <c r="H9" s="138"/>
      <c r="I9" s="138"/>
      <c r="J9" s="140">
        <v>383</v>
      </c>
    </row>
    <row r="10" spans="2:10" ht="19.5" customHeight="1" thickBot="1">
      <c r="B10" s="133" t="s">
        <v>382</v>
      </c>
      <c r="C10" s="125">
        <v>1400</v>
      </c>
      <c r="D10" s="125">
        <v>1800</v>
      </c>
      <c r="E10" s="138">
        <v>2350</v>
      </c>
      <c r="F10" s="138"/>
      <c r="G10" s="138"/>
      <c r="H10" s="138"/>
      <c r="I10" s="138"/>
      <c r="J10" s="140">
        <v>2720</v>
      </c>
    </row>
    <row r="11" spans="2:10" ht="19.5" customHeight="1" thickBot="1">
      <c r="B11" s="133" t="s">
        <v>383</v>
      </c>
      <c r="C11" s="125">
        <v>45</v>
      </c>
      <c r="D11" s="125">
        <v>50</v>
      </c>
      <c r="E11" s="138">
        <v>60</v>
      </c>
      <c r="F11" s="138"/>
      <c r="G11" s="138"/>
      <c r="H11" s="138"/>
      <c r="I11" s="138"/>
      <c r="J11" s="140">
        <v>70</v>
      </c>
    </row>
    <row r="12" spans="2:10" ht="19.5" customHeight="1" thickBot="1">
      <c r="B12" s="137" t="s">
        <v>384</v>
      </c>
      <c r="C12" s="126">
        <v>0.8</v>
      </c>
      <c r="D12" s="134">
        <v>0.9</v>
      </c>
      <c r="E12" s="139">
        <v>1.2</v>
      </c>
      <c r="F12" s="139"/>
      <c r="G12" s="139"/>
      <c r="H12" s="139"/>
      <c r="I12" s="139"/>
      <c r="J12" s="141">
        <v>1.4</v>
      </c>
    </row>
    <row r="13" spans="2:10" ht="19.5" customHeight="1" thickBot="1">
      <c r="B13" s="133" t="s">
        <v>385</v>
      </c>
      <c r="C13" s="125">
        <v>0.9</v>
      </c>
      <c r="D13" s="135">
        <v>1</v>
      </c>
      <c r="E13" s="138">
        <v>1.4</v>
      </c>
      <c r="F13" s="138"/>
      <c r="G13" s="138"/>
      <c r="H13" s="138"/>
      <c r="I13" s="138"/>
      <c r="J13" s="140">
        <v>1.6</v>
      </c>
    </row>
    <row r="14" spans="2:10" ht="19.5" customHeight="1" thickBot="1">
      <c r="B14" s="133" t="s">
        <v>386</v>
      </c>
      <c r="C14" s="125">
        <v>450</v>
      </c>
      <c r="D14" s="135">
        <v>500</v>
      </c>
      <c r="E14" s="138">
        <v>700</v>
      </c>
      <c r="F14" s="138"/>
      <c r="G14" s="138"/>
      <c r="H14" s="138"/>
      <c r="I14" s="138"/>
      <c r="J14" s="140">
        <v>900</v>
      </c>
    </row>
    <row r="15" spans="2:10" ht="19.5" customHeight="1" thickBot="1">
      <c r="B15" s="133" t="s">
        <v>387</v>
      </c>
      <c r="C15" s="125">
        <v>10</v>
      </c>
      <c r="D15" s="135">
        <v>10</v>
      </c>
      <c r="E15" s="138">
        <v>10</v>
      </c>
      <c r="F15" s="138"/>
      <c r="G15" s="138"/>
      <c r="H15" s="138"/>
      <c r="I15" s="138"/>
      <c r="J15" s="140">
        <v>10</v>
      </c>
    </row>
    <row r="16" spans="2:10" ht="19.5" customHeight="1" thickBot="1">
      <c r="B16" s="133" t="s">
        <v>388</v>
      </c>
      <c r="C16" s="125">
        <v>800</v>
      </c>
      <c r="D16" s="135">
        <v>900</v>
      </c>
      <c r="E16" s="138">
        <v>1100</v>
      </c>
      <c r="F16" s="138"/>
      <c r="G16" s="138"/>
      <c r="H16" s="138"/>
      <c r="I16" s="138"/>
      <c r="J16" s="140">
        <v>1200</v>
      </c>
    </row>
    <row r="17" spans="2:10" ht="19.5" customHeight="1" thickBot="1">
      <c r="B17" s="133" t="s">
        <v>389</v>
      </c>
      <c r="C17" s="125">
        <v>700</v>
      </c>
      <c r="D17" s="135">
        <v>800</v>
      </c>
      <c r="E17" s="138">
        <v>1100</v>
      </c>
      <c r="F17" s="138"/>
      <c r="G17" s="138"/>
      <c r="H17" s="138"/>
      <c r="I17" s="138"/>
      <c r="J17" s="140">
        <v>1200</v>
      </c>
    </row>
    <row r="18" spans="2:10" ht="19.5" customHeight="1" thickBot="1">
      <c r="B18" s="133" t="s">
        <v>390</v>
      </c>
      <c r="C18" s="125">
        <v>80</v>
      </c>
      <c r="D18" s="135">
        <v>200</v>
      </c>
      <c r="E18" s="138">
        <v>250</v>
      </c>
      <c r="F18" s="138"/>
      <c r="G18" s="138"/>
      <c r="H18" s="138"/>
      <c r="I18" s="138"/>
      <c r="J18" s="140">
        <v>300</v>
      </c>
    </row>
    <row r="19" spans="2:10" ht="19.5" customHeight="1" thickBot="1">
      <c r="B19" s="133" t="s">
        <v>391</v>
      </c>
      <c r="C19" s="125">
        <v>10</v>
      </c>
      <c r="D19" s="135">
        <v>10</v>
      </c>
      <c r="E19" s="138">
        <v>12</v>
      </c>
      <c r="F19" s="138"/>
      <c r="G19" s="138"/>
      <c r="H19" s="138"/>
      <c r="I19" s="138"/>
      <c r="J19" s="140">
        <v>18</v>
      </c>
    </row>
    <row r="20" spans="2:10" ht="19.5" customHeight="1" thickBot="1">
      <c r="B20" s="133" t="s">
        <v>392</v>
      </c>
      <c r="C20" s="125">
        <v>400</v>
      </c>
      <c r="D20" s="135">
        <v>600</v>
      </c>
      <c r="E20" s="138">
        <v>1100</v>
      </c>
      <c r="F20" s="138"/>
      <c r="G20" s="138"/>
      <c r="H20" s="138"/>
      <c r="I20" s="138"/>
      <c r="J20" s="140">
        <v>1200</v>
      </c>
    </row>
    <row r="21" spans="2:10" ht="19.5" customHeight="1" thickBot="1">
      <c r="B21" s="133" t="s">
        <v>393</v>
      </c>
      <c r="C21" s="125">
        <v>7.0000000000000007E-2</v>
      </c>
      <c r="D21" s="135">
        <v>0.1</v>
      </c>
      <c r="E21" s="138">
        <v>0.1</v>
      </c>
      <c r="F21" s="138"/>
      <c r="G21" s="138"/>
      <c r="H21" s="138"/>
      <c r="I21" s="138"/>
      <c r="J21" s="140">
        <v>0.1</v>
      </c>
    </row>
    <row r="22" spans="2:10" ht="19.5" customHeight="1" thickBot="1">
      <c r="B22" s="133" t="s">
        <v>394</v>
      </c>
      <c r="C22" s="125">
        <v>1.5E-3</v>
      </c>
      <c r="D22" s="135">
        <v>0.02</v>
      </c>
      <c r="E22" s="138">
        <v>0.03</v>
      </c>
      <c r="F22" s="138"/>
      <c r="G22" s="138"/>
      <c r="H22" s="138"/>
      <c r="I22" s="138"/>
      <c r="J22" s="140">
        <v>0.05</v>
      </c>
    </row>
    <row r="23" spans="2:10" ht="19.5" customHeight="1" thickBot="1">
      <c r="B23" s="133" t="s">
        <v>395</v>
      </c>
      <c r="C23" s="125">
        <v>1.4</v>
      </c>
      <c r="D23" s="135">
        <v>2</v>
      </c>
      <c r="E23" s="138">
        <v>3</v>
      </c>
      <c r="F23" s="138"/>
      <c r="G23" s="138"/>
      <c r="H23" s="138"/>
      <c r="I23" s="138"/>
      <c r="J23" s="140">
        <v>4</v>
      </c>
    </row>
  </sheetData>
  <mergeCells count="2">
    <mergeCell ref="B5:B6"/>
    <mergeCell ref="C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28"/>
  <sheetViews>
    <sheetView zoomScale="90" zoomScaleNormal="90" workbookViewId="0">
      <pane xSplit="4" ySplit="2" topLeftCell="E198" activePane="bottomRight" state="frozen"/>
      <selection pane="topRight" activeCell="E1" sqref="E1"/>
      <selection pane="bottomLeft" activeCell="A3" sqref="A3"/>
      <selection pane="bottomRight" activeCell="C214" sqref="C214"/>
    </sheetView>
  </sheetViews>
  <sheetFormatPr defaultRowHeight="15.75"/>
  <cols>
    <col min="1" max="1" width="15.85546875" style="13" customWidth="1"/>
    <col min="2" max="2" width="12.7109375" style="13" customWidth="1"/>
    <col min="3" max="3" width="23.140625" style="13" customWidth="1"/>
    <col min="4" max="4" width="7" style="1" customWidth="1"/>
    <col min="5" max="5" width="27.85546875" style="1" customWidth="1"/>
    <col min="6" max="9" width="0" style="1" hidden="1" customWidth="1"/>
    <col min="10" max="19" width="9.140625" style="1" hidden="1" customWidth="1"/>
    <col min="20" max="20" width="5.42578125" style="1" customWidth="1"/>
    <col min="21" max="21" width="6.85546875" style="1" customWidth="1"/>
    <col min="22" max="22" width="5.7109375" style="1" customWidth="1"/>
    <col min="23" max="23" width="4.7109375" style="1" customWidth="1"/>
    <col min="24" max="24" width="6.7109375" style="1" hidden="1" customWidth="1"/>
    <col min="25" max="25" width="1.140625" style="1" hidden="1" customWidth="1"/>
    <col min="26" max="26" width="6.140625" style="1" hidden="1" customWidth="1"/>
    <col min="27" max="27" width="9.140625" style="1" hidden="1" customWidth="1"/>
    <col min="28" max="28" width="6.7109375" style="1" hidden="1" customWidth="1"/>
    <col min="29" max="29" width="4.85546875" style="1" hidden="1" customWidth="1"/>
    <col min="30" max="31" width="9.140625" style="10"/>
    <col min="32" max="16384" width="9.140625" style="1"/>
  </cols>
  <sheetData>
    <row r="1" spans="1:31">
      <c r="B1" s="33"/>
    </row>
    <row r="2" spans="1:31" s="2" customFormat="1" ht="28.5" customHeight="1">
      <c r="A2" s="47" t="s">
        <v>42</v>
      </c>
      <c r="B2" s="48">
        <f>(B4+B29+B64+B96+B124+B177+B199+B239+B262+B305)/10</f>
        <v>61.520722553942292</v>
      </c>
      <c r="C2" s="12"/>
      <c r="D2" s="2" t="s">
        <v>6</v>
      </c>
      <c r="AD2" s="11" t="s">
        <v>23</v>
      </c>
      <c r="AE2" s="11" t="s">
        <v>3</v>
      </c>
    </row>
    <row r="3" spans="1:31">
      <c r="A3" s="13" t="s">
        <v>0</v>
      </c>
      <c r="B3" s="13" t="s">
        <v>1</v>
      </c>
      <c r="C3" s="13" t="s">
        <v>2</v>
      </c>
      <c r="D3" s="1">
        <v>100</v>
      </c>
      <c r="AD3" s="10">
        <v>62.4</v>
      </c>
      <c r="AE3" s="14">
        <f>AD3*D3/1000</f>
        <v>6.24</v>
      </c>
    </row>
    <row r="4" spans="1:31">
      <c r="B4" s="16">
        <f>AE3+AE4+AE5+AE17+AE26</f>
        <v>38.121424999999995</v>
      </c>
      <c r="C4" s="13" t="s">
        <v>4</v>
      </c>
      <c r="D4" s="1">
        <v>20</v>
      </c>
      <c r="T4" s="1">
        <v>21</v>
      </c>
      <c r="AD4" s="10">
        <v>430.2</v>
      </c>
      <c r="AE4" s="14">
        <f>T4*AD4/1000</f>
        <v>9.0341999999999985</v>
      </c>
    </row>
    <row r="5" spans="1:31">
      <c r="C5" s="13" t="s">
        <v>5</v>
      </c>
      <c r="D5" s="1">
        <v>250</v>
      </c>
      <c r="E5" s="202" t="s">
        <v>9</v>
      </c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9" t="s">
        <v>10</v>
      </c>
      <c r="U5" s="209"/>
      <c r="V5" s="209"/>
      <c r="W5" s="209"/>
      <c r="X5" s="209"/>
      <c r="Y5" s="209"/>
      <c r="Z5" s="209"/>
      <c r="AA5" s="209"/>
      <c r="AB5" s="209"/>
      <c r="AC5" s="209"/>
      <c r="AE5" s="14">
        <f>SUM(AE8:AE13)</f>
        <v>13.748625000000001</v>
      </c>
    </row>
    <row r="6" spans="1:31">
      <c r="E6" s="203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5"/>
      <c r="T6" s="210">
        <v>1</v>
      </c>
      <c r="U6" s="210"/>
      <c r="V6" s="210"/>
      <c r="W6" s="210"/>
      <c r="X6" s="210">
        <v>100</v>
      </c>
      <c r="Y6" s="210"/>
      <c r="Z6" s="210"/>
      <c r="AA6" s="210"/>
      <c r="AB6" s="210"/>
      <c r="AC6" s="210"/>
    </row>
    <row r="7" spans="1:31"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8"/>
      <c r="T7" s="182" t="s">
        <v>11</v>
      </c>
      <c r="U7" s="182"/>
      <c r="V7" s="182" t="s">
        <v>12</v>
      </c>
      <c r="W7" s="182"/>
      <c r="X7" s="182" t="s">
        <v>13</v>
      </c>
      <c r="Y7" s="182"/>
      <c r="Z7" s="182"/>
      <c r="AA7" s="182"/>
      <c r="AB7" s="182" t="s">
        <v>14</v>
      </c>
      <c r="AC7" s="182"/>
    </row>
    <row r="8" spans="1:31">
      <c r="E8" s="256" t="s">
        <v>15</v>
      </c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7">
        <v>50</v>
      </c>
      <c r="U8" s="257"/>
      <c r="V8" s="257">
        <v>50</v>
      </c>
      <c r="W8" s="257"/>
      <c r="X8" s="211">
        <v>4</v>
      </c>
      <c r="Y8" s="211"/>
      <c r="Z8" s="211"/>
      <c r="AA8" s="211"/>
      <c r="AB8" s="211">
        <v>4</v>
      </c>
      <c r="AC8" s="211"/>
      <c r="AD8" s="10">
        <v>37.5</v>
      </c>
      <c r="AE8" s="10">
        <f>AD8*T8/1000</f>
        <v>1.875</v>
      </c>
    </row>
    <row r="9" spans="1:31">
      <c r="E9" s="237" t="s">
        <v>16</v>
      </c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9"/>
      <c r="T9" s="233">
        <v>175</v>
      </c>
      <c r="U9" s="234"/>
      <c r="V9" s="233">
        <v>175</v>
      </c>
      <c r="W9" s="234"/>
      <c r="X9" s="212">
        <v>14</v>
      </c>
      <c r="Y9" s="213"/>
      <c r="Z9" s="213"/>
      <c r="AA9" s="214"/>
      <c r="AB9" s="212">
        <v>14</v>
      </c>
      <c r="AC9" s="214"/>
      <c r="AD9" s="10">
        <v>48.17</v>
      </c>
      <c r="AE9" s="10">
        <f t="shared" ref="AE9:AE13" si="0">AD9*T9/1000</f>
        <v>8.4297500000000003</v>
      </c>
    </row>
    <row r="10" spans="1:31">
      <c r="E10" s="82" t="s">
        <v>17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4"/>
      <c r="T10" s="233">
        <v>75</v>
      </c>
      <c r="U10" s="234"/>
      <c r="V10" s="233">
        <v>75</v>
      </c>
      <c r="W10" s="234"/>
      <c r="X10" s="212">
        <v>6</v>
      </c>
      <c r="Y10" s="213"/>
      <c r="Z10" s="213"/>
      <c r="AA10" s="214"/>
      <c r="AB10" s="212">
        <v>6</v>
      </c>
      <c r="AC10" s="214"/>
      <c r="AE10" s="10">
        <f t="shared" si="0"/>
        <v>0</v>
      </c>
    </row>
    <row r="11" spans="1:31">
      <c r="E11" s="237" t="s">
        <v>18</v>
      </c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9"/>
      <c r="T11" s="233">
        <v>6.25</v>
      </c>
      <c r="U11" s="234"/>
      <c r="V11" s="233">
        <v>6.25</v>
      </c>
      <c r="W11" s="234"/>
      <c r="X11" s="212">
        <v>0.5</v>
      </c>
      <c r="Y11" s="213"/>
      <c r="Z11" s="213"/>
      <c r="AA11" s="214"/>
      <c r="AB11" s="212">
        <v>0.5</v>
      </c>
      <c r="AC11" s="214"/>
      <c r="AD11" s="10">
        <v>550</v>
      </c>
      <c r="AE11" s="10">
        <f t="shared" si="0"/>
        <v>3.4375</v>
      </c>
    </row>
    <row r="12" spans="1:31">
      <c r="E12" s="237" t="s">
        <v>19</v>
      </c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9"/>
      <c r="T12" s="233">
        <v>0.375</v>
      </c>
      <c r="U12" s="234"/>
      <c r="V12" s="233">
        <v>0.375</v>
      </c>
      <c r="W12" s="234"/>
      <c r="X12" s="212">
        <v>0.03</v>
      </c>
      <c r="Y12" s="213"/>
      <c r="Z12" s="213"/>
      <c r="AA12" s="214"/>
      <c r="AB12" s="212">
        <v>0.03</v>
      </c>
      <c r="AC12" s="214"/>
      <c r="AD12" s="10">
        <v>17</v>
      </c>
      <c r="AE12" s="10">
        <f t="shared" si="0"/>
        <v>6.3749999999999996E-3</v>
      </c>
    </row>
    <row r="13" spans="1:31">
      <c r="E13" s="82" t="s">
        <v>20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  <c r="T13" s="85"/>
      <c r="U13" s="86">
        <v>5</v>
      </c>
      <c r="V13" s="233">
        <v>5</v>
      </c>
      <c r="W13" s="234"/>
      <c r="X13" s="212">
        <v>0.04</v>
      </c>
      <c r="Y13" s="213"/>
      <c r="Z13" s="213"/>
      <c r="AA13" s="214"/>
      <c r="AB13" s="212">
        <v>0.04</v>
      </c>
      <c r="AC13" s="214"/>
      <c r="AD13" s="10">
        <v>55</v>
      </c>
      <c r="AE13" s="10">
        <f t="shared" si="0"/>
        <v>0</v>
      </c>
    </row>
    <row r="14" spans="1:31">
      <c r="E14" s="237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9"/>
      <c r="T14" s="233"/>
      <c r="U14" s="234"/>
      <c r="V14" s="233"/>
      <c r="W14" s="234"/>
      <c r="X14" s="188"/>
      <c r="Y14" s="215"/>
      <c r="Z14" s="215"/>
      <c r="AA14" s="189"/>
      <c r="AB14" s="188"/>
      <c r="AC14" s="189"/>
    </row>
    <row r="15" spans="1:31">
      <c r="A15" s="23"/>
      <c r="E15" s="289" t="s">
        <v>21</v>
      </c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90" t="s">
        <v>22</v>
      </c>
      <c r="U15" s="290"/>
      <c r="V15" s="291">
        <v>250</v>
      </c>
      <c r="W15" s="291"/>
      <c r="X15" s="191" t="s">
        <v>22</v>
      </c>
      <c r="Y15" s="191"/>
      <c r="Z15" s="191"/>
      <c r="AA15" s="191"/>
      <c r="AB15" s="191" t="s">
        <v>22</v>
      </c>
      <c r="AC15" s="191"/>
    </row>
    <row r="17" spans="1:31">
      <c r="C17" s="13" t="s">
        <v>8</v>
      </c>
      <c r="D17" s="1">
        <v>200</v>
      </c>
      <c r="E17" s="225" t="s">
        <v>9</v>
      </c>
      <c r="F17" s="225"/>
      <c r="G17" s="225"/>
      <c r="H17" s="225"/>
      <c r="I17" s="225" t="s">
        <v>9</v>
      </c>
      <c r="J17" s="225"/>
      <c r="K17" s="225"/>
      <c r="L17" s="225"/>
      <c r="M17" s="225" t="s">
        <v>9</v>
      </c>
      <c r="N17" s="225"/>
      <c r="O17" s="225"/>
      <c r="P17" s="225"/>
      <c r="Q17" s="10"/>
      <c r="R17" s="10"/>
      <c r="S17" s="10"/>
      <c r="T17" s="221" t="s">
        <v>10</v>
      </c>
      <c r="U17" s="221"/>
      <c r="V17" s="221"/>
      <c r="W17" s="221"/>
      <c r="X17" s="221"/>
      <c r="Y17" s="221"/>
      <c r="Z17" s="221"/>
      <c r="AA17" s="221"/>
      <c r="AE17" s="15">
        <f>AE20+AE21+AE22+AE23</f>
        <v>7.277000000000001</v>
      </c>
    </row>
    <row r="18" spans="1:31">
      <c r="E18" s="226"/>
      <c r="F18" s="227"/>
      <c r="G18" s="227"/>
      <c r="H18" s="227"/>
      <c r="I18" s="226"/>
      <c r="J18" s="227"/>
      <c r="K18" s="227"/>
      <c r="L18" s="227"/>
      <c r="M18" s="226"/>
      <c r="N18" s="227"/>
      <c r="O18" s="227"/>
      <c r="P18" s="227"/>
      <c r="Q18" s="10"/>
      <c r="R18" s="10"/>
      <c r="S18" s="10"/>
      <c r="T18" s="222">
        <v>1</v>
      </c>
      <c r="U18" s="222"/>
      <c r="V18" s="222"/>
      <c r="W18" s="222"/>
      <c r="X18" s="222">
        <v>100</v>
      </c>
      <c r="Y18" s="222"/>
      <c r="Z18" s="222"/>
      <c r="AA18" s="222"/>
    </row>
    <row r="19" spans="1:31">
      <c r="E19" s="228"/>
      <c r="F19" s="229"/>
      <c r="G19" s="229"/>
      <c r="H19" s="229"/>
      <c r="I19" s="228"/>
      <c r="J19" s="229"/>
      <c r="K19" s="229"/>
      <c r="L19" s="229"/>
      <c r="M19" s="228"/>
      <c r="N19" s="229"/>
      <c r="O19" s="229"/>
      <c r="P19" s="229"/>
      <c r="Q19" s="10"/>
      <c r="R19" s="10"/>
      <c r="S19" s="10"/>
      <c r="T19" s="223" t="s">
        <v>11</v>
      </c>
      <c r="U19" s="223"/>
      <c r="V19" s="223" t="s">
        <v>12</v>
      </c>
      <c r="W19" s="223"/>
      <c r="X19" s="223" t="s">
        <v>13</v>
      </c>
      <c r="Y19" s="223"/>
      <c r="Z19" s="223" t="s">
        <v>14</v>
      </c>
      <c r="AA19" s="223"/>
    </row>
    <row r="20" spans="1:31">
      <c r="E20" s="230" t="s">
        <v>24</v>
      </c>
      <c r="F20" s="230"/>
      <c r="G20" s="230"/>
      <c r="H20" s="230"/>
      <c r="I20" s="230" t="s">
        <v>24</v>
      </c>
      <c r="J20" s="230"/>
      <c r="K20" s="230"/>
      <c r="L20" s="230"/>
      <c r="M20" s="230" t="s">
        <v>24</v>
      </c>
      <c r="N20" s="230"/>
      <c r="O20" s="230"/>
      <c r="P20" s="230"/>
      <c r="Q20" s="10"/>
      <c r="R20" s="10"/>
      <c r="S20" s="10"/>
      <c r="T20" s="218">
        <f>4*V24/200</f>
        <v>4</v>
      </c>
      <c r="U20" s="218"/>
      <c r="V20" s="218">
        <f>T20</f>
        <v>4</v>
      </c>
      <c r="W20" s="218"/>
      <c r="X20" s="218">
        <f>T20*0.1</f>
        <v>0.4</v>
      </c>
      <c r="Y20" s="218"/>
      <c r="Z20" s="218">
        <f>V20*0.1</f>
        <v>0.4</v>
      </c>
      <c r="AA20" s="218"/>
      <c r="AD20" s="10">
        <v>340</v>
      </c>
      <c r="AE20" s="10">
        <f>T20*AD20/1000</f>
        <v>1.36</v>
      </c>
    </row>
    <row r="21" spans="1:31">
      <c r="E21" s="216" t="s">
        <v>16</v>
      </c>
      <c r="F21" s="217"/>
      <c r="G21" s="217"/>
      <c r="H21" s="217"/>
      <c r="I21" s="216" t="s">
        <v>16</v>
      </c>
      <c r="J21" s="217"/>
      <c r="K21" s="217"/>
      <c r="L21" s="217"/>
      <c r="M21" s="216" t="s">
        <v>16</v>
      </c>
      <c r="N21" s="217"/>
      <c r="O21" s="217"/>
      <c r="P21" s="217"/>
      <c r="Q21" s="10"/>
      <c r="R21" s="10"/>
      <c r="S21" s="10"/>
      <c r="T21" s="219">
        <f>100*V24/200</f>
        <v>100</v>
      </c>
      <c r="U21" s="220"/>
      <c r="V21" s="218">
        <f>T21</f>
        <v>100</v>
      </c>
      <c r="W21" s="218"/>
      <c r="X21" s="218">
        <f>T21*0.1</f>
        <v>10</v>
      </c>
      <c r="Y21" s="218"/>
      <c r="Z21" s="218">
        <f>V21*0.1</f>
        <v>10</v>
      </c>
      <c r="AA21" s="218"/>
      <c r="AD21" s="10">
        <v>48.17</v>
      </c>
      <c r="AE21" s="10">
        <f t="shared" ref="AE21:AE23" si="1">T21*AD21/1000</f>
        <v>4.8170000000000002</v>
      </c>
    </row>
    <row r="22" spans="1:31">
      <c r="E22" s="216" t="s">
        <v>17</v>
      </c>
      <c r="F22" s="217"/>
      <c r="G22" s="217"/>
      <c r="H22" s="217"/>
      <c r="I22" s="216" t="s">
        <v>17</v>
      </c>
      <c r="J22" s="217"/>
      <c r="K22" s="217"/>
      <c r="L22" s="217"/>
      <c r="M22" s="216" t="s">
        <v>17</v>
      </c>
      <c r="N22" s="217"/>
      <c r="O22" s="217"/>
      <c r="P22" s="217"/>
      <c r="Q22" s="10"/>
      <c r="R22" s="10"/>
      <c r="S22" s="10"/>
      <c r="T22" s="219">
        <f>110*V24/200</f>
        <v>110</v>
      </c>
      <c r="U22" s="220"/>
      <c r="V22" s="218">
        <f>T22</f>
        <v>110</v>
      </c>
      <c r="W22" s="218"/>
      <c r="X22" s="218">
        <f>T22*0.1</f>
        <v>11</v>
      </c>
      <c r="Y22" s="218"/>
      <c r="Z22" s="218">
        <f>V22*0.1</f>
        <v>11</v>
      </c>
      <c r="AA22" s="218"/>
      <c r="AE22" s="10">
        <f t="shared" si="1"/>
        <v>0</v>
      </c>
    </row>
    <row r="23" spans="1:31">
      <c r="E23" s="216" t="s">
        <v>25</v>
      </c>
      <c r="F23" s="217"/>
      <c r="G23" s="217"/>
      <c r="H23" s="217"/>
      <c r="I23" s="216" t="s">
        <v>25</v>
      </c>
      <c r="J23" s="217"/>
      <c r="K23" s="217"/>
      <c r="L23" s="217"/>
      <c r="M23" s="216" t="s">
        <v>25</v>
      </c>
      <c r="N23" s="217"/>
      <c r="O23" s="217"/>
      <c r="P23" s="217"/>
      <c r="Q23" s="10"/>
      <c r="R23" s="10"/>
      <c r="S23" s="10"/>
      <c r="T23" s="219">
        <f>20*V24/200</f>
        <v>20</v>
      </c>
      <c r="U23" s="220"/>
      <c r="V23" s="218">
        <f>T23</f>
        <v>20</v>
      </c>
      <c r="W23" s="218"/>
      <c r="X23" s="218">
        <f>T23*0.1</f>
        <v>2</v>
      </c>
      <c r="Y23" s="218"/>
      <c r="Z23" s="218">
        <f>V23*0.1</f>
        <v>2</v>
      </c>
      <c r="AA23" s="218"/>
      <c r="AD23" s="10">
        <v>55</v>
      </c>
      <c r="AE23" s="10">
        <f t="shared" si="1"/>
        <v>1.1000000000000001</v>
      </c>
    </row>
    <row r="24" spans="1:31">
      <c r="E24" s="224" t="s">
        <v>21</v>
      </c>
      <c r="F24" s="224"/>
      <c r="G24" s="224"/>
      <c r="H24" s="224"/>
      <c r="I24" s="224" t="s">
        <v>21</v>
      </c>
      <c r="J24" s="224"/>
      <c r="K24" s="224"/>
      <c r="L24" s="224"/>
      <c r="M24" s="224" t="s">
        <v>21</v>
      </c>
      <c r="N24" s="224"/>
      <c r="O24" s="224"/>
      <c r="P24" s="224"/>
      <c r="Q24" s="10"/>
      <c r="R24" s="10"/>
      <c r="S24" s="10"/>
      <c r="T24" s="231" t="s">
        <v>22</v>
      </c>
      <c r="U24" s="231"/>
      <c r="V24" s="232">
        <v>200</v>
      </c>
      <c r="W24" s="232"/>
      <c r="X24" s="231" t="s">
        <v>22</v>
      </c>
      <c r="Y24" s="231"/>
      <c r="Z24" s="231">
        <f>V24*0.1</f>
        <v>20</v>
      </c>
      <c r="AA24" s="231"/>
    </row>
    <row r="26" spans="1:31">
      <c r="C26" s="13" t="s">
        <v>26</v>
      </c>
      <c r="D26" s="1">
        <v>40</v>
      </c>
      <c r="AD26" s="10">
        <v>45.54</v>
      </c>
      <c r="AE26" s="15">
        <f>AD26*D26/1000</f>
        <v>1.8215999999999999</v>
      </c>
    </row>
    <row r="28" spans="1:31">
      <c r="A28" s="13" t="s">
        <v>27</v>
      </c>
      <c r="B28" s="13" t="s">
        <v>1</v>
      </c>
      <c r="C28" s="25" t="s">
        <v>28</v>
      </c>
      <c r="D28" s="74">
        <v>40</v>
      </c>
      <c r="AE28" s="18">
        <f>AE29+AE30+AE31+AE32</f>
        <v>1.9912000000000001</v>
      </c>
    </row>
    <row r="29" spans="1:31">
      <c r="B29" s="24">
        <f>AE28+AE34+AE38+AE48+AE54+AE61</f>
        <v>78.266740000000013</v>
      </c>
      <c r="C29" s="25"/>
      <c r="D29" s="74"/>
      <c r="E29" s="237" t="s">
        <v>31</v>
      </c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9"/>
      <c r="T29" s="233">
        <v>54</v>
      </c>
      <c r="U29" s="234"/>
      <c r="AD29" s="10">
        <v>30</v>
      </c>
      <c r="AE29" s="10">
        <f>AD29*T29/1000</f>
        <v>1.62</v>
      </c>
    </row>
    <row r="30" spans="1:31">
      <c r="C30" s="25"/>
      <c r="D30" s="74"/>
      <c r="E30" s="237" t="s">
        <v>32</v>
      </c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9"/>
      <c r="T30" s="233">
        <v>2.5</v>
      </c>
      <c r="U30" s="234"/>
      <c r="AD30" s="10">
        <v>140</v>
      </c>
      <c r="AE30" s="10">
        <f t="shared" ref="AE30:AE32" si="2">AD30*T30/1000</f>
        <v>0.35</v>
      </c>
    </row>
    <row r="31" spans="1:31">
      <c r="C31" s="25"/>
      <c r="D31" s="74"/>
      <c r="E31" s="237" t="s">
        <v>19</v>
      </c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9"/>
      <c r="T31" s="233">
        <v>0.6</v>
      </c>
      <c r="U31" s="234"/>
      <c r="AD31" s="10">
        <v>17</v>
      </c>
      <c r="AE31" s="10">
        <f t="shared" si="2"/>
        <v>1.0199999999999999E-2</v>
      </c>
    </row>
    <row r="32" spans="1:31">
      <c r="C32" s="25"/>
      <c r="D32" s="74"/>
      <c r="E32" s="237" t="s">
        <v>20</v>
      </c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9"/>
      <c r="T32" s="235">
        <v>0.2</v>
      </c>
      <c r="U32" s="236"/>
      <c r="AD32" s="10">
        <v>55</v>
      </c>
      <c r="AE32" s="10">
        <f t="shared" si="2"/>
        <v>1.0999999999999999E-2</v>
      </c>
    </row>
    <row r="33" spans="3:31" s="1" customFormat="1">
      <c r="C33" s="25"/>
      <c r="D33" s="7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20"/>
      <c r="AD33" s="10"/>
      <c r="AE33" s="10"/>
    </row>
    <row r="34" spans="3:31" s="1" customFormat="1">
      <c r="C34" s="25" t="s">
        <v>189</v>
      </c>
      <c r="D34" s="7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20">
        <v>20</v>
      </c>
      <c r="AD34" s="10">
        <v>140</v>
      </c>
      <c r="AE34" s="75">
        <f>U34*AD34/1000</f>
        <v>2.8</v>
      </c>
    </row>
    <row r="35" spans="3:31" s="1" customFormat="1">
      <c r="C35" s="1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20"/>
      <c r="AD35" s="10"/>
      <c r="AE35" s="10"/>
    </row>
    <row r="36" spans="3:31" s="1" customFormat="1">
      <c r="C36" s="13" t="s">
        <v>30</v>
      </c>
      <c r="D36" s="1">
        <v>40</v>
      </c>
      <c r="T36" s="1">
        <v>42</v>
      </c>
      <c r="AD36" s="10">
        <v>150</v>
      </c>
      <c r="AE36" s="21">
        <f>AD36*T36/1000</f>
        <v>6.3</v>
      </c>
    </row>
    <row r="37" spans="3:31" s="1" customFormat="1">
      <c r="C37" s="13"/>
      <c r="AD37" s="10"/>
      <c r="AE37" s="21"/>
    </row>
    <row r="38" spans="3:31" s="1" customFormat="1">
      <c r="C38" s="13" t="s">
        <v>33</v>
      </c>
      <c r="D38" s="1">
        <v>100</v>
      </c>
      <c r="T38" s="222">
        <v>1</v>
      </c>
      <c r="U38" s="222"/>
      <c r="V38" s="222"/>
      <c r="W38" s="222"/>
      <c r="AD38" s="10"/>
      <c r="AE38" s="18">
        <f>SUM(AE40:AE45)</f>
        <v>59.17154</v>
      </c>
    </row>
    <row r="39" spans="3:31" s="1" customFormat="1">
      <c r="C39" s="13"/>
      <c r="T39" s="223" t="s">
        <v>11</v>
      </c>
      <c r="U39" s="223"/>
      <c r="V39" s="223" t="s">
        <v>12</v>
      </c>
      <c r="W39" s="223"/>
      <c r="AD39" s="10"/>
      <c r="AE39" s="10"/>
    </row>
    <row r="40" spans="3:31" s="1" customFormat="1">
      <c r="C40" s="13"/>
      <c r="E40" s="256" t="s">
        <v>191</v>
      </c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309">
        <v>100</v>
      </c>
      <c r="U40" s="310"/>
      <c r="V40" s="309">
        <v>74</v>
      </c>
      <c r="W40" s="310"/>
      <c r="AD40" s="10">
        <v>548</v>
      </c>
      <c r="AE40" s="10">
        <f>T40*AD40/1000</f>
        <v>54.8</v>
      </c>
    </row>
    <row r="41" spans="3:31" s="1" customFormat="1">
      <c r="C41" s="13"/>
      <c r="E41" s="237" t="s">
        <v>35</v>
      </c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9"/>
      <c r="T41" s="233">
        <v>19</v>
      </c>
      <c r="U41" s="234"/>
      <c r="V41" s="233">
        <v>19</v>
      </c>
      <c r="W41" s="234"/>
      <c r="AD41" s="10">
        <v>45.54</v>
      </c>
      <c r="AE41" s="10">
        <f t="shared" ref="AE41:AE45" si="3">T41*AD41/1000</f>
        <v>0.86526000000000003</v>
      </c>
    </row>
    <row r="42" spans="3:31" s="1" customFormat="1">
      <c r="C42" s="13"/>
      <c r="E42" s="237" t="s">
        <v>16</v>
      </c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9"/>
      <c r="T42" s="233">
        <v>24</v>
      </c>
      <c r="U42" s="234"/>
      <c r="V42" s="233">
        <v>24</v>
      </c>
      <c r="W42" s="234"/>
      <c r="AD42" s="10">
        <v>48.17</v>
      </c>
      <c r="AE42" s="10">
        <f t="shared" si="3"/>
        <v>1.15608</v>
      </c>
    </row>
    <row r="43" spans="3:31" s="1" customFormat="1">
      <c r="C43" s="13"/>
      <c r="E43" s="237" t="s">
        <v>36</v>
      </c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9"/>
      <c r="T43" s="233">
        <v>10</v>
      </c>
      <c r="U43" s="234"/>
      <c r="V43" s="233">
        <v>10</v>
      </c>
      <c r="W43" s="234"/>
      <c r="AD43" s="10">
        <v>150</v>
      </c>
      <c r="AE43" s="10">
        <f t="shared" si="3"/>
        <v>1.5</v>
      </c>
    </row>
    <row r="44" spans="3:31" s="1" customFormat="1">
      <c r="C44" s="13"/>
      <c r="E44" s="237" t="s">
        <v>32</v>
      </c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9"/>
      <c r="T44" s="307">
        <v>6</v>
      </c>
      <c r="U44" s="308"/>
      <c r="V44" s="233">
        <v>6</v>
      </c>
      <c r="W44" s="234"/>
      <c r="AD44" s="10">
        <v>140</v>
      </c>
      <c r="AE44" s="10">
        <f t="shared" si="3"/>
        <v>0.84</v>
      </c>
    </row>
    <row r="45" spans="3:31" s="1" customFormat="1">
      <c r="C45" s="13"/>
      <c r="E45" s="256" t="s">
        <v>19</v>
      </c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95">
        <v>0.6</v>
      </c>
      <c r="U45" s="296"/>
      <c r="V45" s="295">
        <v>0.6</v>
      </c>
      <c r="W45" s="296"/>
      <c r="AD45" s="10">
        <v>17</v>
      </c>
      <c r="AE45" s="10">
        <f t="shared" si="3"/>
        <v>1.0199999999999999E-2</v>
      </c>
    </row>
    <row r="46" spans="3:31" s="1" customFormat="1">
      <c r="C46" s="13"/>
      <c r="E46" s="289" t="s">
        <v>21</v>
      </c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303" t="s">
        <v>22</v>
      </c>
      <c r="U46" s="304"/>
      <c r="V46" s="305">
        <v>100</v>
      </c>
      <c r="W46" s="306"/>
      <c r="AD46" s="10"/>
      <c r="AE46" s="10"/>
    </row>
    <row r="48" spans="3:31" s="1" customFormat="1">
      <c r="C48" s="13" t="s">
        <v>37</v>
      </c>
      <c r="D48" s="1">
        <v>180</v>
      </c>
      <c r="T48" s="182" t="s">
        <v>11</v>
      </c>
      <c r="U48" s="182"/>
      <c r="V48" s="182" t="s">
        <v>12</v>
      </c>
      <c r="W48" s="182"/>
      <c r="AD48" s="10"/>
      <c r="AE48" s="18">
        <f>AE49+AE50+AE51</f>
        <v>5.3204000000000002</v>
      </c>
    </row>
    <row r="49" spans="1:31">
      <c r="E49" s="256" t="s">
        <v>38</v>
      </c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7">
        <v>45</v>
      </c>
      <c r="U49" s="257"/>
      <c r="V49" s="257">
        <v>45</v>
      </c>
      <c r="W49" s="257"/>
      <c r="AD49" s="10">
        <v>75</v>
      </c>
      <c r="AE49" s="10">
        <f>AD49*T49/1000</f>
        <v>3.375</v>
      </c>
    </row>
    <row r="50" spans="1:31">
      <c r="E50" s="300" t="s">
        <v>18</v>
      </c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2"/>
      <c r="T50" s="233">
        <v>3.5</v>
      </c>
      <c r="U50" s="234"/>
      <c r="V50" s="233">
        <v>3.5</v>
      </c>
      <c r="W50" s="234"/>
      <c r="AD50" s="10">
        <v>550</v>
      </c>
      <c r="AE50" s="10">
        <f t="shared" ref="AE50:AE51" si="4">AD50*T50/1000</f>
        <v>1.925</v>
      </c>
    </row>
    <row r="51" spans="1:31">
      <c r="E51" s="256" t="s">
        <v>19</v>
      </c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7">
        <v>1.2</v>
      </c>
      <c r="U51" s="257"/>
      <c r="V51" s="257">
        <v>1.2</v>
      </c>
      <c r="W51" s="257"/>
      <c r="AD51" s="10">
        <v>17</v>
      </c>
      <c r="AE51" s="10">
        <f t="shared" si="4"/>
        <v>2.0399999999999998E-2</v>
      </c>
    </row>
    <row r="52" spans="1:31">
      <c r="E52" s="289" t="s">
        <v>21</v>
      </c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90" t="s">
        <v>22</v>
      </c>
      <c r="U52" s="290"/>
      <c r="V52" s="291">
        <v>180</v>
      </c>
      <c r="W52" s="291"/>
    </row>
    <row r="54" spans="1:31">
      <c r="C54" s="13" t="s">
        <v>39</v>
      </c>
      <c r="D54" s="1">
        <v>200</v>
      </c>
      <c r="T54" s="182" t="s">
        <v>11</v>
      </c>
      <c r="U54" s="182"/>
      <c r="V54" s="182" t="s">
        <v>12</v>
      </c>
      <c r="W54" s="182"/>
      <c r="AE54" s="18">
        <f>SUM(AE55:AE58)</f>
        <v>7.1619999999999999</v>
      </c>
    </row>
    <row r="55" spans="1:31">
      <c r="E55" s="183" t="s">
        <v>40</v>
      </c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4">
        <v>4</v>
      </c>
      <c r="U55" s="184"/>
      <c r="V55" s="184">
        <v>4</v>
      </c>
      <c r="W55" s="184"/>
      <c r="AD55" s="10">
        <v>380</v>
      </c>
      <c r="AE55" s="10">
        <f>AD55*T55/1000</f>
        <v>1.52</v>
      </c>
    </row>
    <row r="56" spans="1:31">
      <c r="E56" s="185" t="s">
        <v>20</v>
      </c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7"/>
      <c r="T56" s="188">
        <v>15</v>
      </c>
      <c r="U56" s="189"/>
      <c r="V56" s="188">
        <v>15</v>
      </c>
      <c r="W56" s="189"/>
      <c r="AD56" s="10">
        <v>55</v>
      </c>
      <c r="AE56" s="10">
        <f t="shared" ref="AE56:AE58" si="5">AD56*T56/1000</f>
        <v>0.82499999999999996</v>
      </c>
    </row>
    <row r="57" spans="1:31">
      <c r="E57" s="185" t="s">
        <v>41</v>
      </c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7"/>
      <c r="T57" s="188">
        <v>100</v>
      </c>
      <c r="U57" s="189"/>
      <c r="V57" s="188">
        <v>100</v>
      </c>
      <c r="W57" s="189"/>
      <c r="AD57" s="10">
        <v>48.17</v>
      </c>
      <c r="AE57" s="10">
        <f t="shared" si="5"/>
        <v>4.8170000000000002</v>
      </c>
    </row>
    <row r="58" spans="1:31">
      <c r="E58" s="185" t="s">
        <v>17</v>
      </c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7"/>
      <c r="T58" s="188">
        <v>81</v>
      </c>
      <c r="U58" s="189"/>
      <c r="V58" s="188">
        <v>81</v>
      </c>
      <c r="W58" s="189"/>
      <c r="AD58" s="10">
        <v>0</v>
      </c>
      <c r="AE58" s="10">
        <f t="shared" si="5"/>
        <v>0</v>
      </c>
    </row>
    <row r="59" spans="1:31">
      <c r="E59" s="190" t="s">
        <v>21</v>
      </c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1" t="s">
        <v>22</v>
      </c>
      <c r="U59" s="191"/>
      <c r="V59" s="192">
        <v>200</v>
      </c>
      <c r="W59" s="192"/>
    </row>
    <row r="61" spans="1:31">
      <c r="C61" s="13" t="s">
        <v>26</v>
      </c>
      <c r="D61" s="1">
        <v>40</v>
      </c>
      <c r="AD61" s="10">
        <v>45.54</v>
      </c>
      <c r="AE61" s="18">
        <f>AD61*D61/1000</f>
        <v>1.8215999999999999</v>
      </c>
    </row>
    <row r="63" spans="1:31">
      <c r="A63" s="13" t="s">
        <v>43</v>
      </c>
      <c r="B63" s="13" t="s">
        <v>1</v>
      </c>
    </row>
    <row r="64" spans="1:31">
      <c r="B64" s="25">
        <f>AE64+AE70+AE74+AE88+AE93</f>
        <v>44.299579999999999</v>
      </c>
      <c r="C64" s="13" t="s">
        <v>44</v>
      </c>
      <c r="D64" s="1">
        <v>100</v>
      </c>
      <c r="T64" s="182" t="s">
        <v>11</v>
      </c>
      <c r="U64" s="182"/>
      <c r="V64" s="182" t="s">
        <v>12</v>
      </c>
      <c r="W64" s="182"/>
      <c r="AE64" s="26">
        <f>AE65+AE66+AE67</f>
        <v>5.0966800000000001</v>
      </c>
    </row>
    <row r="65" spans="3:31" s="1" customFormat="1">
      <c r="C65" s="13"/>
      <c r="E65" s="256" t="s">
        <v>45</v>
      </c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7">
        <v>93.8</v>
      </c>
      <c r="U65" s="257"/>
      <c r="V65" s="257">
        <v>75</v>
      </c>
      <c r="W65" s="257"/>
      <c r="AD65" s="10">
        <v>30</v>
      </c>
      <c r="AE65" s="10">
        <f>T65*AD65/1000</f>
        <v>2.8140000000000001</v>
      </c>
    </row>
    <row r="66" spans="3:31" s="1" customFormat="1">
      <c r="C66" s="13"/>
      <c r="E66" s="256" t="s">
        <v>46</v>
      </c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7">
        <v>35.700000000000003</v>
      </c>
      <c r="U66" s="257"/>
      <c r="V66" s="257">
        <v>25</v>
      </c>
      <c r="W66" s="257"/>
      <c r="AD66" s="10">
        <v>62.4</v>
      </c>
      <c r="AE66" s="10">
        <f t="shared" ref="AE66:AE67" si="6">T66*AD66/1000</f>
        <v>2.2276800000000003</v>
      </c>
    </row>
    <row r="67" spans="3:31" s="1" customFormat="1">
      <c r="C67" s="13"/>
      <c r="E67" s="256" t="s">
        <v>20</v>
      </c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7">
        <v>1</v>
      </c>
      <c r="U67" s="257"/>
      <c r="V67" s="257">
        <v>1</v>
      </c>
      <c r="W67" s="257"/>
      <c r="AD67" s="10">
        <v>55</v>
      </c>
      <c r="AE67" s="10">
        <f t="shared" si="6"/>
        <v>5.5E-2</v>
      </c>
    </row>
    <row r="68" spans="3:31" s="1" customFormat="1">
      <c r="C68" s="13"/>
      <c r="E68" s="289" t="s">
        <v>21</v>
      </c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90" t="s">
        <v>22</v>
      </c>
      <c r="U68" s="290"/>
      <c r="V68" s="291">
        <v>100</v>
      </c>
      <c r="W68" s="291"/>
      <c r="AD68" s="10"/>
      <c r="AE68" s="10"/>
    </row>
    <row r="70" spans="3:31" s="1" customFormat="1">
      <c r="C70" s="13" t="s">
        <v>47</v>
      </c>
      <c r="D70" s="1">
        <v>20</v>
      </c>
      <c r="T70" s="182" t="s">
        <v>11</v>
      </c>
      <c r="U70" s="182"/>
      <c r="V70" s="182" t="s">
        <v>12</v>
      </c>
      <c r="W70" s="182"/>
      <c r="AD70" s="10"/>
      <c r="AE70" s="26">
        <f>AE71</f>
        <v>0</v>
      </c>
    </row>
    <row r="71" spans="3:31" s="1" customFormat="1">
      <c r="C71" s="13"/>
      <c r="E71" s="183" t="s">
        <v>48</v>
      </c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4">
        <v>20</v>
      </c>
      <c r="U71" s="184"/>
      <c r="V71" s="184">
        <v>20</v>
      </c>
      <c r="W71" s="184"/>
      <c r="AD71" s="10"/>
      <c r="AE71" s="10">
        <f>T71*AD71/1000</f>
        <v>0</v>
      </c>
    </row>
    <row r="72" spans="3:31" s="1" customFormat="1">
      <c r="C72" s="13"/>
      <c r="T72" s="191" t="s">
        <v>22</v>
      </c>
      <c r="U72" s="191"/>
      <c r="V72" s="192">
        <v>20</v>
      </c>
      <c r="W72" s="192"/>
      <c r="AD72" s="10"/>
      <c r="AE72" s="10"/>
    </row>
    <row r="74" spans="3:31" s="1" customFormat="1">
      <c r="C74" s="13" t="s">
        <v>49</v>
      </c>
      <c r="D74" s="1">
        <v>200</v>
      </c>
      <c r="T74" s="182" t="s">
        <v>11</v>
      </c>
      <c r="U74" s="182"/>
      <c r="V74" s="182" t="s">
        <v>12</v>
      </c>
      <c r="W74" s="182"/>
      <c r="AD74" s="10"/>
      <c r="AE74" s="26">
        <f>AE75+AE76+AE77+AE78+AE79+AE80+AE81+AE82+AE83+AE84+AE85</f>
        <v>35.912300000000002</v>
      </c>
    </row>
    <row r="75" spans="3:31" s="1" customFormat="1">
      <c r="C75" s="13"/>
      <c r="E75" s="256" t="s">
        <v>50</v>
      </c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7">
        <v>120</v>
      </c>
      <c r="U75" s="257"/>
      <c r="V75" s="257">
        <v>120</v>
      </c>
      <c r="W75" s="257"/>
      <c r="AD75" s="10">
        <v>239.45</v>
      </c>
      <c r="AE75" s="10">
        <f>AD75*T75/1000</f>
        <v>28.734000000000002</v>
      </c>
    </row>
    <row r="76" spans="3:31" s="1" customFormat="1">
      <c r="C76" s="13"/>
      <c r="E76" s="237" t="s">
        <v>51</v>
      </c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9"/>
      <c r="T76" s="233">
        <v>24</v>
      </c>
      <c r="U76" s="234"/>
      <c r="V76" s="257">
        <v>24</v>
      </c>
      <c r="W76" s="257"/>
      <c r="AD76" s="10">
        <v>44</v>
      </c>
      <c r="AE76" s="10">
        <f t="shared" ref="AE76:AE85" si="7">AD76*T76/1000</f>
        <v>1.056</v>
      </c>
    </row>
    <row r="77" spans="3:31" s="1" customFormat="1">
      <c r="C77" s="13"/>
      <c r="E77" s="237" t="s">
        <v>16</v>
      </c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9"/>
      <c r="T77" s="233">
        <v>40</v>
      </c>
      <c r="U77" s="234"/>
      <c r="V77" s="257">
        <v>40</v>
      </c>
      <c r="W77" s="257"/>
      <c r="AD77" s="10">
        <v>48.17</v>
      </c>
      <c r="AE77" s="10">
        <f t="shared" si="7"/>
        <v>1.9268000000000003</v>
      </c>
    </row>
    <row r="78" spans="3:31" s="1" customFormat="1">
      <c r="C78" s="13"/>
      <c r="E78" s="237" t="s">
        <v>52</v>
      </c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9"/>
      <c r="T78" s="233">
        <v>10</v>
      </c>
      <c r="U78" s="234"/>
      <c r="V78" s="257">
        <v>10</v>
      </c>
      <c r="W78" s="257"/>
      <c r="X78" s="30"/>
      <c r="Y78" s="30"/>
      <c r="Z78" s="30"/>
      <c r="AA78" s="30"/>
      <c r="AB78" s="30"/>
      <c r="AC78" s="30"/>
      <c r="AD78" s="31">
        <v>140</v>
      </c>
      <c r="AE78" s="10">
        <f>AD78*T78/1000</f>
        <v>1.4</v>
      </c>
    </row>
    <row r="79" spans="3:31" s="1" customFormat="1">
      <c r="C79" s="13"/>
      <c r="E79" s="237" t="s">
        <v>20</v>
      </c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9"/>
      <c r="T79" s="235">
        <v>12</v>
      </c>
      <c r="U79" s="236"/>
      <c r="V79" s="257">
        <v>12</v>
      </c>
      <c r="W79" s="257"/>
      <c r="AD79" s="10">
        <v>55</v>
      </c>
      <c r="AE79" s="10">
        <f t="shared" si="7"/>
        <v>0.66</v>
      </c>
    </row>
    <row r="80" spans="3:31" s="1" customFormat="1">
      <c r="C80" s="13"/>
      <c r="E80" s="237" t="s">
        <v>18</v>
      </c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9"/>
      <c r="T80" s="233">
        <v>2</v>
      </c>
      <c r="U80" s="234"/>
      <c r="V80" s="257">
        <v>2</v>
      </c>
      <c r="W80" s="257"/>
      <c r="AD80" s="10">
        <v>550</v>
      </c>
      <c r="AE80" s="10">
        <f t="shared" si="7"/>
        <v>1.1000000000000001</v>
      </c>
    </row>
    <row r="81" spans="1:31">
      <c r="E81" s="237" t="s">
        <v>53</v>
      </c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9"/>
      <c r="T81" s="292">
        <v>0.03</v>
      </c>
      <c r="U81" s="293"/>
      <c r="V81" s="257">
        <v>0.03</v>
      </c>
      <c r="W81" s="257"/>
      <c r="AD81" s="10">
        <v>1200</v>
      </c>
      <c r="AE81" s="10">
        <f t="shared" si="7"/>
        <v>3.5999999999999997E-2</v>
      </c>
    </row>
    <row r="82" spans="1:31">
      <c r="E82" s="237" t="s">
        <v>54</v>
      </c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9"/>
      <c r="T82" s="233">
        <v>4</v>
      </c>
      <c r="U82" s="234"/>
      <c r="V82" s="257">
        <v>4</v>
      </c>
      <c r="W82" s="257"/>
      <c r="AD82" s="10">
        <v>173.6</v>
      </c>
      <c r="AE82" s="10">
        <f t="shared" si="7"/>
        <v>0.69440000000000002</v>
      </c>
    </row>
    <row r="83" spans="1:31">
      <c r="E83" s="237" t="s">
        <v>55</v>
      </c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9"/>
      <c r="T83" s="233">
        <v>2</v>
      </c>
      <c r="U83" s="234"/>
      <c r="V83" s="257">
        <v>2</v>
      </c>
      <c r="W83" s="257"/>
      <c r="AD83" s="10">
        <v>150</v>
      </c>
      <c r="AE83" s="10">
        <f t="shared" si="7"/>
        <v>0.3</v>
      </c>
    </row>
    <row r="84" spans="1:31">
      <c r="E84" s="237" t="s">
        <v>56</v>
      </c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9"/>
      <c r="T84" s="233">
        <v>3</v>
      </c>
      <c r="U84" s="234"/>
      <c r="V84" s="257">
        <v>3</v>
      </c>
      <c r="W84" s="257"/>
      <c r="AD84" s="32"/>
      <c r="AE84" s="10">
        <f t="shared" si="7"/>
        <v>0</v>
      </c>
    </row>
    <row r="85" spans="1:31">
      <c r="E85" s="256" t="s">
        <v>19</v>
      </c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7">
        <v>0.3</v>
      </c>
      <c r="U85" s="257"/>
      <c r="V85" s="257">
        <v>0.3</v>
      </c>
      <c r="W85" s="257"/>
      <c r="AD85" s="10">
        <v>17</v>
      </c>
      <c r="AE85" s="10">
        <f t="shared" si="7"/>
        <v>5.0999999999999995E-3</v>
      </c>
    </row>
    <row r="86" spans="1:31">
      <c r="E86" s="289" t="s">
        <v>21</v>
      </c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90" t="s">
        <v>22</v>
      </c>
      <c r="U86" s="290"/>
      <c r="V86" s="291">
        <v>200</v>
      </c>
      <c r="W86" s="291"/>
    </row>
    <row r="88" spans="1:31">
      <c r="C88" s="13" t="s">
        <v>57</v>
      </c>
      <c r="D88" s="1">
        <v>200</v>
      </c>
      <c r="T88" s="182" t="s">
        <v>11</v>
      </c>
      <c r="U88" s="182"/>
      <c r="V88" s="182" t="s">
        <v>12</v>
      </c>
      <c r="W88" s="182"/>
      <c r="AE88" s="26">
        <f>AE89+AE90</f>
        <v>1.125</v>
      </c>
    </row>
    <row r="89" spans="1:31">
      <c r="E89" s="183" t="s">
        <v>58</v>
      </c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4">
        <v>0.6</v>
      </c>
      <c r="U89" s="184"/>
      <c r="V89" s="184">
        <v>0.6</v>
      </c>
      <c r="W89" s="184"/>
      <c r="AD89" s="10">
        <v>500</v>
      </c>
      <c r="AE89" s="10">
        <f>T89*AD89/1000</f>
        <v>0.3</v>
      </c>
    </row>
    <row r="90" spans="1:31">
      <c r="E90" s="185" t="s">
        <v>20</v>
      </c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7"/>
      <c r="T90" s="188">
        <v>15</v>
      </c>
      <c r="U90" s="189"/>
      <c r="V90" s="188">
        <v>15</v>
      </c>
      <c r="W90" s="189"/>
      <c r="AD90" s="10">
        <v>55</v>
      </c>
      <c r="AE90" s="10">
        <f>T90*AD90/1000</f>
        <v>0.82499999999999996</v>
      </c>
    </row>
    <row r="91" spans="1:31">
      <c r="E91" s="190" t="s">
        <v>21</v>
      </c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1" t="s">
        <v>22</v>
      </c>
      <c r="U91" s="191"/>
      <c r="V91" s="192">
        <v>200</v>
      </c>
      <c r="W91" s="192"/>
    </row>
    <row r="93" spans="1:31">
      <c r="C93" s="13" t="s">
        <v>59</v>
      </c>
      <c r="D93" s="1">
        <v>40</v>
      </c>
      <c r="AD93" s="10">
        <v>54.14</v>
      </c>
      <c r="AE93" s="26">
        <f>D93*AD93/1000</f>
        <v>2.1656</v>
      </c>
    </row>
    <row r="95" spans="1:31">
      <c r="A95" s="13" t="s">
        <v>60</v>
      </c>
      <c r="B95" s="13" t="s">
        <v>1</v>
      </c>
      <c r="C95" s="76" t="s">
        <v>212</v>
      </c>
      <c r="D95" s="30">
        <v>100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4">
        <v>62.4</v>
      </c>
      <c r="AE95" s="22">
        <f>D95*AD95/1000</f>
        <v>6.24</v>
      </c>
    </row>
    <row r="96" spans="1:31">
      <c r="B96" s="27">
        <f>AE98+AE95+AE109+AE115+AE121</f>
        <v>65.630600000000001</v>
      </c>
    </row>
    <row r="98" spans="3:31" s="1" customFormat="1">
      <c r="C98" s="13" t="s">
        <v>62</v>
      </c>
      <c r="D98" s="1">
        <v>100</v>
      </c>
      <c r="T98" s="182" t="s">
        <v>11</v>
      </c>
      <c r="U98" s="182"/>
      <c r="V98" s="182" t="s">
        <v>12</v>
      </c>
      <c r="W98" s="182"/>
      <c r="AD98" s="10"/>
      <c r="AE98" s="22">
        <f>SUM(AE99:AE106)</f>
        <v>49.133899999999997</v>
      </c>
    </row>
    <row r="99" spans="3:31" s="1" customFormat="1">
      <c r="C99" s="13"/>
      <c r="E99" s="256" t="s">
        <v>63</v>
      </c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7">
        <v>85</v>
      </c>
      <c r="U99" s="257"/>
      <c r="V99" s="257">
        <v>74.400000000000006</v>
      </c>
      <c r="W99" s="257"/>
      <c r="AD99" s="10">
        <v>548</v>
      </c>
      <c r="AE99" s="10">
        <f>T99*AD99/1000</f>
        <v>46.58</v>
      </c>
    </row>
    <row r="100" spans="3:31" s="1" customFormat="1">
      <c r="C100" s="13"/>
      <c r="E100" s="237" t="s">
        <v>38</v>
      </c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9"/>
      <c r="T100" s="233">
        <v>3</v>
      </c>
      <c r="U100" s="234"/>
      <c r="V100" s="233">
        <v>3</v>
      </c>
      <c r="W100" s="234"/>
      <c r="AD100" s="10">
        <v>75</v>
      </c>
      <c r="AE100" s="10">
        <f t="shared" ref="AE100:AE106" si="8">T100*AD100/1000</f>
        <v>0.22500000000000001</v>
      </c>
    </row>
    <row r="101" spans="3:31" s="1" customFormat="1">
      <c r="C101" s="13"/>
      <c r="E101" s="237" t="s">
        <v>64</v>
      </c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9"/>
      <c r="T101" s="233">
        <v>3.6</v>
      </c>
      <c r="U101" s="234"/>
      <c r="V101" s="233">
        <v>3.6</v>
      </c>
      <c r="W101" s="234"/>
      <c r="X101" s="30"/>
      <c r="Y101" s="30"/>
      <c r="Z101" s="30"/>
      <c r="AA101" s="30"/>
      <c r="AB101" s="30"/>
      <c r="AC101" s="30"/>
      <c r="AD101" s="31">
        <v>140</v>
      </c>
      <c r="AE101" s="10">
        <f t="shared" si="8"/>
        <v>0.504</v>
      </c>
    </row>
    <row r="102" spans="3:31" s="1" customFormat="1">
      <c r="C102" s="13"/>
      <c r="E102" s="237" t="s">
        <v>65</v>
      </c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9"/>
      <c r="T102" s="233">
        <v>11</v>
      </c>
      <c r="U102" s="234"/>
      <c r="V102" s="233">
        <v>9.6</v>
      </c>
      <c r="W102" s="234"/>
      <c r="AD102" s="10">
        <v>30</v>
      </c>
      <c r="AE102" s="10">
        <f t="shared" si="8"/>
        <v>0.33</v>
      </c>
    </row>
    <row r="103" spans="3:31" s="1" customFormat="1">
      <c r="C103" s="13"/>
      <c r="E103" s="237" t="s">
        <v>66</v>
      </c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9"/>
      <c r="T103" s="233">
        <v>5.3</v>
      </c>
      <c r="U103" s="234"/>
      <c r="V103" s="233">
        <v>4.8</v>
      </c>
      <c r="W103" s="234"/>
      <c r="AD103" s="10">
        <v>20</v>
      </c>
      <c r="AE103" s="10">
        <f t="shared" si="8"/>
        <v>0.106</v>
      </c>
    </row>
    <row r="104" spans="3:31" s="1" customFormat="1">
      <c r="C104" s="13"/>
      <c r="E104" s="237" t="s">
        <v>41</v>
      </c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9"/>
      <c r="T104" s="233">
        <v>20</v>
      </c>
      <c r="U104" s="234"/>
      <c r="V104" s="233">
        <v>20</v>
      </c>
      <c r="W104" s="234"/>
      <c r="AD104" s="10">
        <v>48.19</v>
      </c>
      <c r="AE104" s="10">
        <f t="shared" si="8"/>
        <v>0.96379999999999999</v>
      </c>
    </row>
    <row r="105" spans="3:31" s="1" customFormat="1">
      <c r="C105" s="13"/>
      <c r="E105" s="300" t="s">
        <v>67</v>
      </c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2"/>
      <c r="T105" s="233">
        <v>3</v>
      </c>
      <c r="U105" s="234"/>
      <c r="V105" s="233">
        <v>3</v>
      </c>
      <c r="W105" s="234"/>
      <c r="AD105" s="10">
        <v>140</v>
      </c>
      <c r="AE105" s="10">
        <f t="shared" si="8"/>
        <v>0.42</v>
      </c>
    </row>
    <row r="106" spans="3:31" s="1" customFormat="1">
      <c r="C106" s="13"/>
      <c r="E106" s="256" t="s">
        <v>19</v>
      </c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7">
        <v>0.3</v>
      </c>
      <c r="U106" s="257"/>
      <c r="V106" s="257">
        <v>0.3</v>
      </c>
      <c r="W106" s="257"/>
      <c r="AD106" s="10">
        <v>17</v>
      </c>
      <c r="AE106" s="10">
        <f t="shared" si="8"/>
        <v>5.0999999999999995E-3</v>
      </c>
    </row>
    <row r="107" spans="3:31" s="1" customFormat="1">
      <c r="C107" s="13"/>
      <c r="E107" s="289" t="s">
        <v>21</v>
      </c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90" t="s">
        <v>22</v>
      </c>
      <c r="U107" s="290"/>
      <c r="V107" s="291">
        <v>100</v>
      </c>
      <c r="W107" s="291"/>
      <c r="AD107" s="10"/>
      <c r="AE107" s="10"/>
    </row>
    <row r="109" spans="3:31" s="1" customFormat="1">
      <c r="C109" s="13" t="s">
        <v>68</v>
      </c>
      <c r="D109" s="1">
        <v>180</v>
      </c>
      <c r="T109" s="182" t="s">
        <v>11</v>
      </c>
      <c r="U109" s="182"/>
      <c r="V109" s="182" t="s">
        <v>12</v>
      </c>
      <c r="W109" s="182"/>
      <c r="AD109" s="10"/>
      <c r="AE109" s="22">
        <f>SUM(AE110:AE112)</f>
        <v>6.2351000000000001</v>
      </c>
    </row>
    <row r="110" spans="3:31" s="1" customFormat="1">
      <c r="C110" s="13"/>
      <c r="E110" s="256" t="s">
        <v>69</v>
      </c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7">
        <v>62</v>
      </c>
      <c r="U110" s="257"/>
      <c r="V110" s="257">
        <v>62</v>
      </c>
      <c r="W110" s="257"/>
      <c r="AD110" s="10">
        <v>65</v>
      </c>
      <c r="AE110" s="10">
        <f>T110*AD110/1000</f>
        <v>4.03</v>
      </c>
    </row>
    <row r="111" spans="3:31" s="1" customFormat="1">
      <c r="C111" s="13"/>
      <c r="E111" s="256" t="s">
        <v>19</v>
      </c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7">
        <v>0.3</v>
      </c>
      <c r="U111" s="257"/>
      <c r="V111" s="257">
        <v>0.3</v>
      </c>
      <c r="W111" s="257"/>
      <c r="AD111" s="10">
        <v>17</v>
      </c>
      <c r="AE111" s="10">
        <f t="shared" ref="AE111:AE112" si="9">T111*AD111/1000</f>
        <v>5.0999999999999995E-3</v>
      </c>
    </row>
    <row r="112" spans="3:31" s="1" customFormat="1">
      <c r="C112" s="13"/>
      <c r="E112" s="256" t="s">
        <v>18</v>
      </c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7">
        <v>4</v>
      </c>
      <c r="U112" s="257"/>
      <c r="V112" s="257">
        <v>4</v>
      </c>
      <c r="W112" s="257"/>
      <c r="AD112" s="10">
        <v>550</v>
      </c>
      <c r="AE112" s="10">
        <f t="shared" si="9"/>
        <v>2.2000000000000002</v>
      </c>
    </row>
    <row r="113" spans="1:31">
      <c r="E113" s="289" t="s">
        <v>21</v>
      </c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90" t="s">
        <v>22</v>
      </c>
      <c r="U113" s="290"/>
      <c r="V113" s="291">
        <v>180</v>
      </c>
      <c r="W113" s="291"/>
    </row>
    <row r="115" spans="1:31">
      <c r="C115" s="13" t="s">
        <v>70</v>
      </c>
      <c r="D115" s="1">
        <v>200</v>
      </c>
      <c r="T115" s="182" t="s">
        <v>11</v>
      </c>
      <c r="U115" s="182"/>
      <c r="V115" s="182" t="s">
        <v>12</v>
      </c>
      <c r="W115" s="182"/>
      <c r="AE115" s="22">
        <f>SUM(AE116:AE118)</f>
        <v>2.2000000000000002</v>
      </c>
    </row>
    <row r="116" spans="1:31">
      <c r="E116" s="183" t="s">
        <v>58</v>
      </c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4">
        <v>0.6</v>
      </c>
      <c r="U116" s="184"/>
      <c r="V116" s="184">
        <v>0.6</v>
      </c>
      <c r="W116" s="184"/>
      <c r="AD116" s="10">
        <v>500</v>
      </c>
      <c r="AE116" s="10">
        <f>T116*AD116/1000</f>
        <v>0.3</v>
      </c>
    </row>
    <row r="117" spans="1:31">
      <c r="E117" s="185" t="s">
        <v>20</v>
      </c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7"/>
      <c r="T117" s="188">
        <v>15</v>
      </c>
      <c r="U117" s="189"/>
      <c r="V117" s="188">
        <v>15</v>
      </c>
      <c r="W117" s="189"/>
      <c r="AD117" s="10">
        <v>55</v>
      </c>
      <c r="AE117" s="10">
        <f t="shared" ref="AE117:AE118" si="10">T117*AD117/1000</f>
        <v>0.82499999999999996</v>
      </c>
    </row>
    <row r="118" spans="1:31">
      <c r="E118" s="185" t="s">
        <v>71</v>
      </c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7"/>
      <c r="T118" s="188">
        <v>5</v>
      </c>
      <c r="U118" s="189"/>
      <c r="V118" s="188">
        <v>4</v>
      </c>
      <c r="W118" s="189"/>
      <c r="AD118" s="10">
        <v>215</v>
      </c>
      <c r="AE118" s="10">
        <f t="shared" si="10"/>
        <v>1.075</v>
      </c>
    </row>
    <row r="119" spans="1:31">
      <c r="E119" s="190" t="s">
        <v>21</v>
      </c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1" t="s">
        <v>22</v>
      </c>
      <c r="U119" s="191"/>
      <c r="V119" s="191" t="s">
        <v>72</v>
      </c>
      <c r="W119" s="191"/>
    </row>
    <row r="121" spans="1:31">
      <c r="C121" s="13" t="s">
        <v>26</v>
      </c>
      <c r="D121" s="1">
        <v>40</v>
      </c>
      <c r="AD121" s="10">
        <v>45.54</v>
      </c>
      <c r="AE121" s="22">
        <f>AD121*D121/1000</f>
        <v>1.8215999999999999</v>
      </c>
    </row>
    <row r="123" spans="1:31">
      <c r="A123" s="13" t="s">
        <v>73</v>
      </c>
      <c r="B123" s="13" t="s">
        <v>1</v>
      </c>
      <c r="C123" s="76" t="s">
        <v>74</v>
      </c>
      <c r="D123" s="30">
        <v>20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195" t="s">
        <v>11</v>
      </c>
      <c r="U123" s="195"/>
      <c r="V123" s="195" t="s">
        <v>12</v>
      </c>
      <c r="W123" s="195"/>
      <c r="X123" s="30"/>
      <c r="Y123" s="30"/>
      <c r="Z123" s="30"/>
      <c r="AA123" s="30"/>
      <c r="AB123" s="30"/>
      <c r="AC123" s="30"/>
      <c r="AD123" s="31"/>
      <c r="AE123" s="81">
        <f>AE124</f>
        <v>5.25</v>
      </c>
    </row>
    <row r="124" spans="1:31">
      <c r="B124" s="28">
        <f>AE123+AE129+AE131+AE140+AE142+AE144</f>
        <v>50.265300000000003</v>
      </c>
      <c r="C124" s="76"/>
      <c r="D124" s="30"/>
      <c r="E124" s="196" t="s">
        <v>75</v>
      </c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7">
        <f>21*V125/20</f>
        <v>21</v>
      </c>
      <c r="U124" s="197"/>
      <c r="V124" s="197">
        <f>T124</f>
        <v>21</v>
      </c>
      <c r="W124" s="197"/>
      <c r="X124" s="30"/>
      <c r="Y124" s="30"/>
      <c r="Z124" s="30"/>
      <c r="AA124" s="30"/>
      <c r="AB124" s="30"/>
      <c r="AC124" s="30"/>
      <c r="AD124" s="31">
        <v>250</v>
      </c>
      <c r="AE124" s="31">
        <f>T124*AD124/1000</f>
        <v>5.25</v>
      </c>
    </row>
    <row r="125" spans="1:31">
      <c r="C125" s="76"/>
      <c r="D125" s="30"/>
      <c r="E125" s="198" t="s">
        <v>21</v>
      </c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9" t="s">
        <v>22</v>
      </c>
      <c r="U125" s="199"/>
      <c r="V125" s="200">
        <v>20</v>
      </c>
      <c r="W125" s="200"/>
      <c r="X125" s="30"/>
      <c r="Y125" s="30"/>
      <c r="Z125" s="30"/>
      <c r="AA125" s="30"/>
      <c r="AB125" s="30"/>
      <c r="AC125" s="30"/>
      <c r="AD125" s="31"/>
      <c r="AE125" s="31"/>
    </row>
    <row r="126" spans="1:31">
      <c r="T126" s="201" t="s">
        <v>11</v>
      </c>
      <c r="U126" s="201"/>
      <c r="V126" s="201" t="s">
        <v>12</v>
      </c>
      <c r="W126" s="201"/>
    </row>
    <row r="127" spans="1:31">
      <c r="C127" s="13" t="s">
        <v>76</v>
      </c>
      <c r="D127" s="1">
        <v>50</v>
      </c>
      <c r="E127" s="256" t="s">
        <v>77</v>
      </c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7">
        <v>53.75</v>
      </c>
      <c r="U127" s="257"/>
      <c r="V127" s="257">
        <v>50</v>
      </c>
      <c r="W127" s="257"/>
      <c r="AD127" s="10">
        <v>160</v>
      </c>
      <c r="AE127" s="29">
        <f>T127*AD127/1000</f>
        <v>8.6</v>
      </c>
    </row>
    <row r="128" spans="1:31">
      <c r="T128" s="201" t="s">
        <v>11</v>
      </c>
      <c r="U128" s="201"/>
      <c r="V128" s="201" t="s">
        <v>12</v>
      </c>
      <c r="W128" s="201"/>
    </row>
    <row r="129" spans="3:31" s="1" customFormat="1">
      <c r="C129" s="76" t="s">
        <v>79</v>
      </c>
      <c r="D129" s="30">
        <v>20</v>
      </c>
      <c r="E129" s="258" t="s">
        <v>78</v>
      </c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7">
        <v>21</v>
      </c>
      <c r="U129" s="257"/>
      <c r="V129" s="257">
        <v>20</v>
      </c>
      <c r="W129" s="257"/>
      <c r="AD129" s="10">
        <v>430.2</v>
      </c>
      <c r="AE129" s="29">
        <f>T129*AD129/1000</f>
        <v>9.0341999999999985</v>
      </c>
    </row>
    <row r="131" spans="3:31" s="1" customFormat="1">
      <c r="C131" s="13" t="s">
        <v>80</v>
      </c>
      <c r="D131" s="1">
        <v>250</v>
      </c>
      <c r="T131" s="182" t="s">
        <v>11</v>
      </c>
      <c r="U131" s="182"/>
      <c r="V131" s="182" t="s">
        <v>12</v>
      </c>
      <c r="W131" s="182"/>
      <c r="AD131" s="10"/>
      <c r="AE131" s="29">
        <f>SUM(AE132:AE137)</f>
        <v>26.450500000000002</v>
      </c>
    </row>
    <row r="132" spans="3:31" s="1" customFormat="1">
      <c r="C132" s="13"/>
      <c r="E132" s="256" t="s">
        <v>52</v>
      </c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7">
        <v>125</v>
      </c>
      <c r="U132" s="257"/>
      <c r="V132" s="257">
        <v>125</v>
      </c>
      <c r="W132" s="257"/>
      <c r="AD132" s="10">
        <v>140</v>
      </c>
      <c r="AE132" s="10">
        <f>T132*AD132/1000</f>
        <v>17.5</v>
      </c>
    </row>
    <row r="133" spans="3:31" s="1" customFormat="1">
      <c r="C133" s="13"/>
      <c r="E133" s="237" t="s">
        <v>16</v>
      </c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9"/>
      <c r="T133" s="233">
        <v>100</v>
      </c>
      <c r="U133" s="234"/>
      <c r="V133" s="257">
        <v>100</v>
      </c>
      <c r="W133" s="257"/>
      <c r="AD133" s="10">
        <v>48.17</v>
      </c>
      <c r="AE133" s="10">
        <f t="shared" ref="AE133:AE137" si="11">T133*AD133/1000</f>
        <v>4.8170000000000002</v>
      </c>
    </row>
    <row r="134" spans="3:31" s="1" customFormat="1">
      <c r="C134" s="13"/>
      <c r="E134" s="237" t="s">
        <v>18</v>
      </c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9"/>
      <c r="T134" s="233">
        <v>3.75</v>
      </c>
      <c r="U134" s="234"/>
      <c r="V134" s="257">
        <v>3.75</v>
      </c>
      <c r="W134" s="257"/>
      <c r="AD134" s="10">
        <v>550</v>
      </c>
      <c r="AE134" s="10">
        <f t="shared" si="11"/>
        <v>2.0625</v>
      </c>
    </row>
    <row r="135" spans="3:31" s="1" customFormat="1">
      <c r="C135" s="13"/>
      <c r="E135" s="237" t="s">
        <v>17</v>
      </c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9"/>
      <c r="T135" s="233">
        <v>56.25</v>
      </c>
      <c r="U135" s="234"/>
      <c r="V135" s="257">
        <v>56.25</v>
      </c>
      <c r="W135" s="257"/>
      <c r="AD135" s="10"/>
      <c r="AE135" s="10">
        <f t="shared" si="11"/>
        <v>0</v>
      </c>
    </row>
    <row r="136" spans="3:31" s="1" customFormat="1">
      <c r="C136" s="13"/>
      <c r="E136" s="237" t="s">
        <v>18</v>
      </c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9"/>
      <c r="T136" s="235">
        <v>3.75</v>
      </c>
      <c r="U136" s="236"/>
      <c r="V136" s="257">
        <v>3.75</v>
      </c>
      <c r="W136" s="257"/>
      <c r="AD136" s="10">
        <v>550</v>
      </c>
      <c r="AE136" s="10">
        <f t="shared" si="11"/>
        <v>2.0625</v>
      </c>
    </row>
    <row r="137" spans="3:31" s="1" customFormat="1">
      <c r="C137" s="13"/>
      <c r="E137" s="256" t="s">
        <v>19</v>
      </c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7">
        <v>0.5</v>
      </c>
      <c r="U137" s="257"/>
      <c r="V137" s="257">
        <v>0.5</v>
      </c>
      <c r="W137" s="257"/>
      <c r="AD137" s="10">
        <v>17</v>
      </c>
      <c r="AE137" s="10">
        <f t="shared" si="11"/>
        <v>8.5000000000000006E-3</v>
      </c>
    </row>
    <row r="138" spans="3:31" s="1" customFormat="1">
      <c r="C138" s="13"/>
      <c r="E138" s="289" t="s">
        <v>21</v>
      </c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90" t="s">
        <v>22</v>
      </c>
      <c r="U138" s="290"/>
      <c r="V138" s="291">
        <v>250</v>
      </c>
      <c r="W138" s="291"/>
      <c r="AD138" s="10"/>
      <c r="AE138" s="10"/>
    </row>
    <row r="139" spans="3:31" s="1" customFormat="1">
      <c r="C139" s="13"/>
      <c r="T139" s="182" t="s">
        <v>11</v>
      </c>
      <c r="U139" s="182"/>
      <c r="V139" s="182" t="s">
        <v>12</v>
      </c>
      <c r="W139" s="182"/>
      <c r="AD139" s="10"/>
      <c r="AE139" s="10"/>
    </row>
    <row r="140" spans="3:31" s="1" customFormat="1">
      <c r="C140" s="13" t="s">
        <v>81</v>
      </c>
      <c r="E140" s="183" t="s">
        <v>82</v>
      </c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4">
        <v>100</v>
      </c>
      <c r="U140" s="184"/>
      <c r="V140" s="184">
        <v>100</v>
      </c>
      <c r="W140" s="184"/>
      <c r="AD140" s="10">
        <v>62.4</v>
      </c>
      <c r="AE140" s="29">
        <f>T140*AD140/1000</f>
        <v>6.24</v>
      </c>
    </row>
    <row r="142" spans="3:31" s="1" customFormat="1">
      <c r="C142" s="13" t="s">
        <v>59</v>
      </c>
      <c r="D142" s="1">
        <v>40</v>
      </c>
      <c r="AD142" s="10">
        <v>54.14</v>
      </c>
      <c r="AE142" s="29">
        <f>D142*AD142/1000</f>
        <v>2.1656</v>
      </c>
    </row>
    <row r="144" spans="3:31" s="1" customFormat="1">
      <c r="C144" s="13" t="s">
        <v>57</v>
      </c>
      <c r="D144" s="1">
        <v>200</v>
      </c>
      <c r="T144" s="182" t="s">
        <v>11</v>
      </c>
      <c r="U144" s="182"/>
      <c r="V144" s="182" t="s">
        <v>12</v>
      </c>
      <c r="W144" s="182"/>
      <c r="AD144" s="10"/>
      <c r="AE144" s="29">
        <f>AE145+AE146</f>
        <v>1.125</v>
      </c>
    </row>
    <row r="145" spans="1:31">
      <c r="E145" s="183" t="s">
        <v>58</v>
      </c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4">
        <v>0.6</v>
      </c>
      <c r="U145" s="184"/>
      <c r="V145" s="184">
        <v>0.6</v>
      </c>
      <c r="W145" s="184"/>
      <c r="AD145" s="10">
        <v>500</v>
      </c>
      <c r="AE145" s="10">
        <f>AD145*T145/1000</f>
        <v>0.3</v>
      </c>
    </row>
    <row r="146" spans="1:31">
      <c r="E146" s="185" t="s">
        <v>20</v>
      </c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7"/>
      <c r="T146" s="188">
        <v>15</v>
      </c>
      <c r="U146" s="189"/>
      <c r="V146" s="188">
        <v>15</v>
      </c>
      <c r="W146" s="189"/>
      <c r="AD146" s="10">
        <v>55</v>
      </c>
      <c r="AE146" s="10">
        <f>AD146*T146/1000</f>
        <v>0.82499999999999996</v>
      </c>
    </row>
    <row r="147" spans="1:31">
      <c r="E147" s="190" t="s">
        <v>21</v>
      </c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1" t="s">
        <v>22</v>
      </c>
      <c r="U147" s="191"/>
      <c r="V147" s="192">
        <v>200</v>
      </c>
      <c r="W147" s="192"/>
    </row>
    <row r="150" spans="1:31">
      <c r="A150" s="77" t="s">
        <v>83</v>
      </c>
      <c r="B150" s="77" t="s">
        <v>1</v>
      </c>
      <c r="C150" s="77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32"/>
      <c r="AE150" s="32"/>
    </row>
    <row r="151" spans="1:31">
      <c r="A151" s="77"/>
      <c r="B151" s="79">
        <f>AE151+AE153+AE165+AE172+AE174</f>
        <v>67.155680000000004</v>
      </c>
      <c r="C151" s="77" t="s">
        <v>84</v>
      </c>
      <c r="D151" s="78"/>
      <c r="E151" s="261" t="s">
        <v>85</v>
      </c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2">
        <v>102</v>
      </c>
      <c r="U151" s="262"/>
      <c r="V151" s="262">
        <v>100</v>
      </c>
      <c r="W151" s="262"/>
      <c r="X151" s="78"/>
      <c r="Y151" s="78"/>
      <c r="Z151" s="78"/>
      <c r="AA151" s="78"/>
      <c r="AB151" s="78"/>
      <c r="AC151" s="78"/>
      <c r="AD151" s="32">
        <v>105</v>
      </c>
      <c r="AE151" s="32">
        <f>T151*AD151/1000</f>
        <v>10.71</v>
      </c>
    </row>
    <row r="152" spans="1:31">
      <c r="A152" s="77"/>
      <c r="B152" s="77"/>
      <c r="C152" s="77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32"/>
      <c r="AE152" s="32"/>
    </row>
    <row r="153" spans="1:31">
      <c r="A153" s="77"/>
      <c r="B153" s="77"/>
      <c r="C153" s="77" t="s">
        <v>86</v>
      </c>
      <c r="D153" s="78">
        <v>90</v>
      </c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267" t="s">
        <v>11</v>
      </c>
      <c r="U153" s="267"/>
      <c r="V153" s="267" t="s">
        <v>12</v>
      </c>
      <c r="W153" s="267"/>
      <c r="X153" s="78"/>
      <c r="Y153" s="78"/>
      <c r="Z153" s="78"/>
      <c r="AA153" s="78"/>
      <c r="AB153" s="78"/>
      <c r="AC153" s="78"/>
      <c r="AD153" s="32"/>
      <c r="AE153" s="32">
        <f>SUM(AE154:AE162)</f>
        <v>38.222900000000003</v>
      </c>
    </row>
    <row r="154" spans="1:31">
      <c r="A154" s="77"/>
      <c r="B154" s="77"/>
      <c r="C154" s="77"/>
      <c r="D154" s="78"/>
      <c r="E154" s="261" t="s">
        <v>63</v>
      </c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2">
        <f>50*V163/90</f>
        <v>50</v>
      </c>
      <c r="U154" s="262"/>
      <c r="V154" s="262">
        <f>42*V163/90</f>
        <v>42</v>
      </c>
      <c r="W154" s="262"/>
      <c r="X154" s="78"/>
      <c r="Y154" s="78"/>
      <c r="Z154" s="78"/>
      <c r="AA154" s="78"/>
      <c r="AB154" s="78"/>
      <c r="AC154" s="78"/>
      <c r="AD154" s="32">
        <v>548</v>
      </c>
      <c r="AE154" s="32">
        <f>T154*AD154/1000</f>
        <v>27.4</v>
      </c>
    </row>
    <row r="155" spans="1:31">
      <c r="A155" s="77"/>
      <c r="B155" s="77"/>
      <c r="C155" s="77"/>
      <c r="D155" s="78"/>
      <c r="E155" s="263" t="s">
        <v>87</v>
      </c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5"/>
      <c r="T155" s="259">
        <f>24*V163/90</f>
        <v>24</v>
      </c>
      <c r="U155" s="260"/>
      <c r="V155" s="259">
        <f>20*V163/90</f>
        <v>20</v>
      </c>
      <c r="W155" s="260"/>
      <c r="X155" s="78"/>
      <c r="Y155" s="78"/>
      <c r="Z155" s="78"/>
      <c r="AA155" s="78"/>
      <c r="AB155" s="78"/>
      <c r="AC155" s="78"/>
      <c r="AD155" s="32">
        <v>330</v>
      </c>
      <c r="AE155" s="32">
        <f t="shared" ref="AE155:AE162" si="12">T155*AD155/1000</f>
        <v>7.92</v>
      </c>
    </row>
    <row r="156" spans="1:31">
      <c r="A156" s="77"/>
      <c r="B156" s="77"/>
      <c r="C156" s="77"/>
      <c r="D156" s="78"/>
      <c r="E156" s="263" t="s">
        <v>88</v>
      </c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5"/>
      <c r="T156" s="259">
        <f>13.5*V163/90</f>
        <v>13.5</v>
      </c>
      <c r="U156" s="260"/>
      <c r="V156" s="259">
        <f>T156</f>
        <v>13.5</v>
      </c>
      <c r="W156" s="260"/>
      <c r="X156" s="78"/>
      <c r="Y156" s="78"/>
      <c r="Z156" s="78"/>
      <c r="AA156" s="78"/>
      <c r="AB156" s="78"/>
      <c r="AC156" s="78"/>
      <c r="AD156" s="32">
        <v>45.54</v>
      </c>
      <c r="AE156" s="32">
        <f t="shared" si="12"/>
        <v>0.61478999999999995</v>
      </c>
    </row>
    <row r="157" spans="1:31">
      <c r="A157" s="77"/>
      <c r="B157" s="77"/>
      <c r="C157" s="77"/>
      <c r="D157" s="78"/>
      <c r="E157" s="263" t="s">
        <v>64</v>
      </c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5"/>
      <c r="T157" s="259">
        <f>4*V163/90</f>
        <v>4</v>
      </c>
      <c r="U157" s="260"/>
      <c r="V157" s="259">
        <f t="shared" ref="V157:V162" si="13">T157</f>
        <v>4</v>
      </c>
      <c r="W157" s="260"/>
      <c r="X157" s="78"/>
      <c r="Y157" s="78"/>
      <c r="Z157" s="78"/>
      <c r="AA157" s="78"/>
      <c r="AB157" s="78"/>
      <c r="AC157" s="78"/>
      <c r="AD157" s="32">
        <v>140</v>
      </c>
      <c r="AE157" s="32">
        <f t="shared" si="12"/>
        <v>0.56000000000000005</v>
      </c>
    </row>
    <row r="158" spans="1:31">
      <c r="A158" s="77"/>
      <c r="B158" s="77"/>
      <c r="C158" s="77"/>
      <c r="D158" s="78"/>
      <c r="E158" s="263" t="s">
        <v>89</v>
      </c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5"/>
      <c r="T158" s="259">
        <f>3.5*V163/90</f>
        <v>3.5</v>
      </c>
      <c r="U158" s="260"/>
      <c r="V158" s="259">
        <f t="shared" si="13"/>
        <v>3.5</v>
      </c>
      <c r="W158" s="260"/>
      <c r="X158" s="78"/>
      <c r="Y158" s="78"/>
      <c r="Z158" s="78"/>
      <c r="AA158" s="78"/>
      <c r="AB158" s="78"/>
      <c r="AC158" s="78"/>
      <c r="AD158" s="32">
        <v>20</v>
      </c>
      <c r="AE158" s="32">
        <f t="shared" si="12"/>
        <v>7.0000000000000007E-2</v>
      </c>
    </row>
    <row r="159" spans="1:31">
      <c r="A159" s="77"/>
      <c r="B159" s="77"/>
      <c r="C159" s="77"/>
      <c r="D159" s="78"/>
      <c r="E159" s="263" t="s">
        <v>16</v>
      </c>
      <c r="F159" s="264"/>
      <c r="G159" s="264"/>
      <c r="H159" s="264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265"/>
      <c r="T159" s="259">
        <f>13*V163/90</f>
        <v>13</v>
      </c>
      <c r="U159" s="260"/>
      <c r="V159" s="259">
        <f t="shared" si="13"/>
        <v>13</v>
      </c>
      <c r="W159" s="260"/>
      <c r="X159" s="78"/>
      <c r="Y159" s="78"/>
      <c r="Z159" s="78"/>
      <c r="AA159" s="78"/>
      <c r="AB159" s="78"/>
      <c r="AC159" s="78"/>
      <c r="AD159" s="32">
        <v>48.17</v>
      </c>
      <c r="AE159" s="32">
        <f t="shared" si="12"/>
        <v>0.62621000000000004</v>
      </c>
    </row>
    <row r="160" spans="1:31">
      <c r="A160" s="77"/>
      <c r="B160" s="77"/>
      <c r="C160" s="77"/>
      <c r="D160" s="78"/>
      <c r="E160" s="261" t="s">
        <v>55</v>
      </c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2">
        <f>4*V163/90</f>
        <v>4</v>
      </c>
      <c r="U160" s="262"/>
      <c r="V160" s="259">
        <f t="shared" si="13"/>
        <v>4</v>
      </c>
      <c r="W160" s="260"/>
      <c r="X160" s="78"/>
      <c r="Y160" s="78"/>
      <c r="Z160" s="78"/>
      <c r="AA160" s="78"/>
      <c r="AB160" s="78"/>
      <c r="AC160" s="78"/>
      <c r="AD160" s="32">
        <v>150</v>
      </c>
      <c r="AE160" s="32">
        <f t="shared" si="12"/>
        <v>0.6</v>
      </c>
    </row>
    <row r="161" spans="1:31">
      <c r="A161" s="77"/>
      <c r="B161" s="77"/>
      <c r="C161" s="77"/>
      <c r="D161" s="78"/>
      <c r="E161" s="261" t="s">
        <v>19</v>
      </c>
      <c r="F161" s="261"/>
      <c r="G161" s="261"/>
      <c r="H161" s="261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261"/>
      <c r="T161" s="262">
        <f>0.7*V163/90</f>
        <v>0.7</v>
      </c>
      <c r="U161" s="262"/>
      <c r="V161" s="259">
        <f t="shared" si="13"/>
        <v>0.7</v>
      </c>
      <c r="W161" s="260"/>
      <c r="X161" s="78"/>
      <c r="Y161" s="78"/>
      <c r="Z161" s="78"/>
      <c r="AA161" s="78"/>
      <c r="AB161" s="78"/>
      <c r="AC161" s="78"/>
      <c r="AD161" s="32">
        <v>17</v>
      </c>
      <c r="AE161" s="32">
        <f t="shared" si="12"/>
        <v>1.1899999999999999E-2</v>
      </c>
    </row>
    <row r="162" spans="1:31">
      <c r="A162" s="77"/>
      <c r="B162" s="77"/>
      <c r="C162" s="77"/>
      <c r="D162" s="78"/>
      <c r="E162" s="263" t="s">
        <v>67</v>
      </c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5"/>
      <c r="T162" s="259">
        <f>3*V163/90</f>
        <v>3</v>
      </c>
      <c r="U162" s="260"/>
      <c r="V162" s="259">
        <f t="shared" si="13"/>
        <v>3</v>
      </c>
      <c r="W162" s="260"/>
      <c r="X162" s="78"/>
      <c r="Y162" s="78"/>
      <c r="Z162" s="78"/>
      <c r="AA162" s="78"/>
      <c r="AB162" s="78"/>
      <c r="AC162" s="78"/>
      <c r="AD162" s="32">
        <v>140</v>
      </c>
      <c r="AE162" s="32">
        <f t="shared" si="12"/>
        <v>0.42</v>
      </c>
    </row>
    <row r="163" spans="1:31">
      <c r="A163" s="77"/>
      <c r="B163" s="77"/>
      <c r="C163" s="77"/>
      <c r="D163" s="78"/>
      <c r="E163" s="266" t="s">
        <v>21</v>
      </c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68" t="s">
        <v>22</v>
      </c>
      <c r="U163" s="268"/>
      <c r="V163" s="269">
        <v>90</v>
      </c>
      <c r="W163" s="269"/>
      <c r="X163" s="78"/>
      <c r="Y163" s="78"/>
      <c r="Z163" s="78"/>
      <c r="AA163" s="78"/>
      <c r="AB163" s="78"/>
      <c r="AC163" s="78"/>
      <c r="AD163" s="32"/>
      <c r="AE163" s="32"/>
    </row>
    <row r="164" spans="1:31">
      <c r="A164" s="77"/>
      <c r="B164" s="77"/>
      <c r="C164" s="77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32"/>
      <c r="AE164" s="32"/>
    </row>
    <row r="165" spans="1:31">
      <c r="A165" s="77"/>
      <c r="B165" s="77"/>
      <c r="C165" s="77" t="s">
        <v>90</v>
      </c>
      <c r="D165" s="78">
        <v>150</v>
      </c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267" t="s">
        <v>11</v>
      </c>
      <c r="U165" s="267"/>
      <c r="V165" s="267" t="s">
        <v>12</v>
      </c>
      <c r="W165" s="267"/>
      <c r="X165" s="78"/>
      <c r="Y165" s="78"/>
      <c r="Z165" s="78"/>
      <c r="AA165" s="78"/>
      <c r="AB165" s="78"/>
      <c r="AC165" s="78"/>
      <c r="AD165" s="32"/>
      <c r="AE165" s="32">
        <f>SUM(AE166:AE169)</f>
        <v>7.4011799999999992</v>
      </c>
    </row>
    <row r="166" spans="1:31">
      <c r="A166" s="77"/>
      <c r="B166" s="77"/>
      <c r="C166" s="77"/>
      <c r="D166" s="78"/>
      <c r="E166" s="261" t="s">
        <v>91</v>
      </c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2">
        <f>170*V170/150</f>
        <v>170</v>
      </c>
      <c r="U166" s="262"/>
      <c r="V166" s="262">
        <f>128*V170/150</f>
        <v>128</v>
      </c>
      <c r="W166" s="262"/>
      <c r="X166" s="78"/>
      <c r="Y166" s="78"/>
      <c r="Z166" s="78"/>
      <c r="AA166" s="78"/>
      <c r="AB166" s="78"/>
      <c r="AC166" s="78"/>
      <c r="AD166" s="32">
        <v>27</v>
      </c>
      <c r="AE166" s="32">
        <f>T166*AD166/1000</f>
        <v>4.59</v>
      </c>
    </row>
    <row r="167" spans="1:31">
      <c r="A167" s="77"/>
      <c r="B167" s="77"/>
      <c r="C167" s="77"/>
      <c r="D167" s="78"/>
      <c r="E167" s="263" t="s">
        <v>16</v>
      </c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5"/>
      <c r="T167" s="259">
        <f>24*V170/150</f>
        <v>24</v>
      </c>
      <c r="U167" s="260"/>
      <c r="V167" s="259">
        <f>24*V170/150</f>
        <v>24</v>
      </c>
      <c r="W167" s="260"/>
      <c r="X167" s="78"/>
      <c r="Y167" s="78"/>
      <c r="Z167" s="78"/>
      <c r="AA167" s="78"/>
      <c r="AB167" s="78"/>
      <c r="AC167" s="78"/>
      <c r="AD167" s="32">
        <v>48.17</v>
      </c>
      <c r="AE167" s="32">
        <f t="shared" ref="AE167:AE169" si="14">T167*AD167/1000</f>
        <v>1.15608</v>
      </c>
    </row>
    <row r="168" spans="1:31">
      <c r="A168" s="77"/>
      <c r="B168" s="77"/>
      <c r="C168" s="77"/>
      <c r="D168" s="78"/>
      <c r="E168" s="263" t="s">
        <v>18</v>
      </c>
      <c r="F168" s="264"/>
      <c r="G168" s="264"/>
      <c r="H168" s="264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5"/>
      <c r="T168" s="259">
        <f>3*V170/150</f>
        <v>3</v>
      </c>
      <c r="U168" s="260"/>
      <c r="V168" s="259">
        <f>3*V170/150</f>
        <v>3</v>
      </c>
      <c r="W168" s="260"/>
      <c r="X168" s="78"/>
      <c r="Y168" s="78"/>
      <c r="Z168" s="78"/>
      <c r="AA168" s="78"/>
      <c r="AB168" s="78"/>
      <c r="AC168" s="78"/>
      <c r="AD168" s="32">
        <v>550</v>
      </c>
      <c r="AE168" s="32">
        <f t="shared" si="14"/>
        <v>1.65</v>
      </c>
    </row>
    <row r="169" spans="1:31">
      <c r="A169" s="77"/>
      <c r="B169" s="77"/>
      <c r="C169" s="77"/>
      <c r="D169" s="78"/>
      <c r="E169" s="261" t="s">
        <v>19</v>
      </c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2">
        <f>0.3*V170/150</f>
        <v>0.3</v>
      </c>
      <c r="U169" s="262"/>
      <c r="V169" s="262">
        <f>0.3*V170/150</f>
        <v>0.3</v>
      </c>
      <c r="W169" s="262"/>
      <c r="X169" s="78"/>
      <c r="Y169" s="78"/>
      <c r="Z169" s="78"/>
      <c r="AA169" s="78"/>
      <c r="AB169" s="78"/>
      <c r="AC169" s="78"/>
      <c r="AD169" s="32">
        <v>17</v>
      </c>
      <c r="AE169" s="32">
        <f t="shared" si="14"/>
        <v>5.0999999999999995E-3</v>
      </c>
    </row>
    <row r="170" spans="1:31">
      <c r="A170" s="77"/>
      <c r="B170" s="77"/>
      <c r="C170" s="77"/>
      <c r="D170" s="78"/>
      <c r="E170" s="266" t="s">
        <v>21</v>
      </c>
      <c r="F170" s="266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266"/>
      <c r="T170" s="268" t="s">
        <v>22</v>
      </c>
      <c r="U170" s="268"/>
      <c r="V170" s="269">
        <v>150</v>
      </c>
      <c r="W170" s="269"/>
      <c r="X170" s="78"/>
      <c r="Y170" s="78"/>
      <c r="Z170" s="78"/>
      <c r="AA170" s="78"/>
      <c r="AB170" s="78"/>
      <c r="AC170" s="78"/>
      <c r="AD170" s="32"/>
      <c r="AE170" s="32"/>
    </row>
    <row r="171" spans="1:31">
      <c r="A171" s="77"/>
      <c r="B171" s="77"/>
      <c r="C171" s="77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32"/>
      <c r="AE171" s="32"/>
    </row>
    <row r="172" spans="1:31">
      <c r="A172" s="77"/>
      <c r="B172" s="77"/>
      <c r="C172" s="77" t="s">
        <v>92</v>
      </c>
      <c r="D172" s="78">
        <v>200</v>
      </c>
      <c r="E172" s="261" t="s">
        <v>93</v>
      </c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70">
        <v>200</v>
      </c>
      <c r="U172" s="270"/>
      <c r="V172" s="270">
        <v>200</v>
      </c>
      <c r="W172" s="270"/>
      <c r="X172" s="78"/>
      <c r="Y172" s="78"/>
      <c r="Z172" s="78"/>
      <c r="AA172" s="78"/>
      <c r="AB172" s="78"/>
      <c r="AC172" s="78"/>
      <c r="AD172" s="32">
        <v>45</v>
      </c>
      <c r="AE172" s="32">
        <f>T172*AD172/1000</f>
        <v>9</v>
      </c>
    </row>
    <row r="173" spans="1:31">
      <c r="A173" s="77"/>
      <c r="B173" s="77"/>
      <c r="C173" s="77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32"/>
      <c r="AE173" s="32"/>
    </row>
    <row r="174" spans="1:31">
      <c r="A174" s="77"/>
      <c r="B174" s="77"/>
      <c r="C174" s="77" t="s">
        <v>26</v>
      </c>
      <c r="D174" s="78">
        <v>40</v>
      </c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32">
        <v>45.54</v>
      </c>
      <c r="AE174" s="32">
        <f>D174*AD174/1000</f>
        <v>1.8215999999999999</v>
      </c>
    </row>
    <row r="176" spans="1:31">
      <c r="A176" s="13" t="s">
        <v>94</v>
      </c>
      <c r="B176" s="13" t="s">
        <v>1</v>
      </c>
    </row>
    <row r="177" spans="2:31" s="1" customFormat="1">
      <c r="B177" s="35">
        <f>AE177+AE179+AE181+AE189+AE196</f>
        <v>41.824299999999994</v>
      </c>
      <c r="C177" s="13" t="s">
        <v>213</v>
      </c>
      <c r="E177" s="183" t="s">
        <v>2</v>
      </c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4">
        <v>100</v>
      </c>
      <c r="U177" s="184"/>
      <c r="V177" s="184">
        <v>100</v>
      </c>
      <c r="W177" s="184"/>
      <c r="AD177" s="10">
        <v>62.4</v>
      </c>
      <c r="AE177" s="36">
        <f>T177*AD177/1000</f>
        <v>6.24</v>
      </c>
    </row>
    <row r="179" spans="2:31" s="1" customFormat="1">
      <c r="B179" s="13"/>
      <c r="C179" s="13" t="s">
        <v>97</v>
      </c>
      <c r="D179" s="1">
        <v>20</v>
      </c>
      <c r="E179" s="183" t="s">
        <v>78</v>
      </c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4">
        <v>21</v>
      </c>
      <c r="U179" s="184"/>
      <c r="V179" s="184">
        <v>20</v>
      </c>
      <c r="W179" s="184"/>
      <c r="AD179" s="10">
        <v>430.2</v>
      </c>
      <c r="AE179" s="36">
        <f>T179*AD179/1000</f>
        <v>9.0341999999999985</v>
      </c>
    </row>
    <row r="181" spans="2:31" s="1" customFormat="1">
      <c r="B181" s="13"/>
      <c r="C181" s="13" t="s">
        <v>98</v>
      </c>
      <c r="D181" s="1">
        <v>200</v>
      </c>
      <c r="T181" s="182" t="s">
        <v>11</v>
      </c>
      <c r="U181" s="182"/>
      <c r="V181" s="182" t="s">
        <v>12</v>
      </c>
      <c r="W181" s="182"/>
      <c r="AD181" s="10"/>
      <c r="AE181" s="36">
        <f>SUM(AE182:AE186)</f>
        <v>17.2225</v>
      </c>
    </row>
    <row r="182" spans="2:31" s="1" customFormat="1">
      <c r="B182" s="13"/>
      <c r="C182" s="13"/>
      <c r="E182" s="183" t="s">
        <v>99</v>
      </c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4">
        <f>50*V187/200</f>
        <v>50</v>
      </c>
      <c r="U182" s="184"/>
      <c r="V182" s="184">
        <f>T182</f>
        <v>50</v>
      </c>
      <c r="W182" s="184"/>
      <c r="AD182" s="10">
        <v>90</v>
      </c>
      <c r="AE182" s="10">
        <f>T182*AD182/1000</f>
        <v>4.5</v>
      </c>
    </row>
    <row r="183" spans="2:31" s="1" customFormat="1">
      <c r="B183" s="13"/>
      <c r="C183" s="13"/>
      <c r="E183" s="185" t="s">
        <v>16</v>
      </c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7"/>
      <c r="T183" s="188">
        <f>200*V187/200</f>
        <v>200</v>
      </c>
      <c r="U183" s="189"/>
      <c r="V183" s="188">
        <f>T183</f>
        <v>200</v>
      </c>
      <c r="W183" s="189"/>
      <c r="AD183" s="10">
        <v>48.17</v>
      </c>
      <c r="AE183" s="10">
        <f t="shared" ref="AE183:AE186" si="15">T183*AD183/1000</f>
        <v>9.6340000000000003</v>
      </c>
    </row>
    <row r="184" spans="2:31" s="1" customFormat="1">
      <c r="B184" s="13"/>
      <c r="C184" s="13"/>
      <c r="E184" s="185" t="s">
        <v>20</v>
      </c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7"/>
      <c r="T184" s="188">
        <f>6*V187/200</f>
        <v>6</v>
      </c>
      <c r="U184" s="189"/>
      <c r="V184" s="188">
        <f>T184</f>
        <v>6</v>
      </c>
      <c r="W184" s="189"/>
      <c r="AD184" s="10">
        <v>55</v>
      </c>
      <c r="AE184" s="10">
        <f t="shared" si="15"/>
        <v>0.33</v>
      </c>
    </row>
    <row r="185" spans="2:31" s="1" customFormat="1">
      <c r="B185" s="13"/>
      <c r="C185" s="13"/>
      <c r="E185" s="185" t="s">
        <v>18</v>
      </c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7"/>
      <c r="T185" s="188">
        <f>5*V187/200</f>
        <v>5</v>
      </c>
      <c r="U185" s="189"/>
      <c r="V185" s="188">
        <f>T185</f>
        <v>5</v>
      </c>
      <c r="W185" s="189"/>
      <c r="AD185" s="10">
        <v>550</v>
      </c>
      <c r="AE185" s="10">
        <f t="shared" si="15"/>
        <v>2.75</v>
      </c>
    </row>
    <row r="186" spans="2:31" s="1" customFormat="1">
      <c r="B186" s="13"/>
      <c r="C186" s="13"/>
      <c r="E186" s="183" t="s">
        <v>19</v>
      </c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4">
        <f>0.5*V187/200</f>
        <v>0.5</v>
      </c>
      <c r="U186" s="184"/>
      <c r="V186" s="184">
        <f>T186</f>
        <v>0.5</v>
      </c>
      <c r="W186" s="184"/>
      <c r="AD186" s="10">
        <v>17</v>
      </c>
      <c r="AE186" s="10">
        <f t="shared" si="15"/>
        <v>8.5000000000000006E-3</v>
      </c>
    </row>
    <row r="187" spans="2:31" s="1" customFormat="1">
      <c r="B187" s="13"/>
      <c r="C187" s="13"/>
      <c r="E187" s="190" t="s">
        <v>21</v>
      </c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1" t="s">
        <v>22</v>
      </c>
      <c r="U187" s="191"/>
      <c r="V187" s="192">
        <v>200</v>
      </c>
      <c r="W187" s="192"/>
      <c r="AD187" s="10" t="s">
        <v>29</v>
      </c>
      <c r="AE187" s="10"/>
    </row>
    <row r="189" spans="2:31" s="1" customFormat="1">
      <c r="B189" s="13"/>
      <c r="C189" s="13" t="s">
        <v>39</v>
      </c>
      <c r="D189" s="1">
        <v>200</v>
      </c>
      <c r="T189" s="182" t="s">
        <v>11</v>
      </c>
      <c r="U189" s="182"/>
      <c r="V189" s="182" t="s">
        <v>12</v>
      </c>
      <c r="W189" s="182"/>
      <c r="AD189" s="10"/>
      <c r="AE189" s="36">
        <f>SUM(AE190:AE193)</f>
        <v>7.1619999999999999</v>
      </c>
    </row>
    <row r="190" spans="2:31" s="1" customFormat="1">
      <c r="B190" s="13"/>
      <c r="C190" s="13"/>
      <c r="E190" s="183" t="s">
        <v>40</v>
      </c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4">
        <v>4</v>
      </c>
      <c r="U190" s="184"/>
      <c r="V190" s="184">
        <v>4</v>
      </c>
      <c r="W190" s="184"/>
      <c r="AD190" s="10">
        <v>380</v>
      </c>
      <c r="AE190" s="10">
        <f>AD190*T190/1000</f>
        <v>1.52</v>
      </c>
    </row>
    <row r="191" spans="2:31" s="1" customFormat="1">
      <c r="B191" s="13"/>
      <c r="C191" s="13"/>
      <c r="E191" s="185" t="s">
        <v>20</v>
      </c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7"/>
      <c r="T191" s="188">
        <v>15</v>
      </c>
      <c r="U191" s="189"/>
      <c r="V191" s="188">
        <v>15</v>
      </c>
      <c r="W191" s="189"/>
      <c r="AD191" s="10">
        <v>55</v>
      </c>
      <c r="AE191" s="10">
        <f t="shared" ref="AE191:AE193" si="16">AD191*T191/1000</f>
        <v>0.82499999999999996</v>
      </c>
    </row>
    <row r="192" spans="2:31" s="1" customFormat="1">
      <c r="B192" s="13"/>
      <c r="C192" s="13"/>
      <c r="E192" s="185" t="s">
        <v>41</v>
      </c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7"/>
      <c r="T192" s="188">
        <v>100</v>
      </c>
      <c r="U192" s="189"/>
      <c r="V192" s="188">
        <v>100</v>
      </c>
      <c r="W192" s="189"/>
      <c r="AD192" s="10">
        <v>48.17</v>
      </c>
      <c r="AE192" s="10">
        <f t="shared" si="16"/>
        <v>4.8170000000000002</v>
      </c>
    </row>
    <row r="193" spans="1:31">
      <c r="E193" s="185" t="s">
        <v>17</v>
      </c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7"/>
      <c r="T193" s="188">
        <v>81</v>
      </c>
      <c r="U193" s="189"/>
      <c r="V193" s="188">
        <v>81</v>
      </c>
      <c r="W193" s="189"/>
      <c r="AD193" s="10">
        <v>0</v>
      </c>
      <c r="AE193" s="10">
        <f t="shared" si="16"/>
        <v>0</v>
      </c>
    </row>
    <row r="194" spans="1:31">
      <c r="E194" s="190" t="s">
        <v>21</v>
      </c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1" t="s">
        <v>22</v>
      </c>
      <c r="U194" s="191"/>
      <c r="V194" s="192">
        <v>200</v>
      </c>
      <c r="W194" s="192"/>
    </row>
    <row r="196" spans="1:31">
      <c r="C196" s="13" t="s">
        <v>59</v>
      </c>
      <c r="D196" s="1">
        <v>40</v>
      </c>
      <c r="AD196" s="10">
        <v>54.14</v>
      </c>
      <c r="AE196" s="36">
        <f>D196*AD196/1000</f>
        <v>2.1656</v>
      </c>
    </row>
    <row r="198" spans="1:31">
      <c r="A198" s="13" t="s">
        <v>100</v>
      </c>
      <c r="B198" s="13" t="s">
        <v>1</v>
      </c>
    </row>
    <row r="199" spans="1:31">
      <c r="B199" s="38">
        <f>AE199+AE205+AE209+AE223+AE231+AE236</f>
        <v>100.11660000000001</v>
      </c>
      <c r="C199" s="13" t="s">
        <v>28</v>
      </c>
      <c r="D199" s="1">
        <v>40</v>
      </c>
      <c r="AE199" s="37">
        <f>AE200+AE201+AE202+AE203</f>
        <v>1.9912000000000001</v>
      </c>
    </row>
    <row r="200" spans="1:31">
      <c r="E200" s="237" t="s">
        <v>31</v>
      </c>
      <c r="F200" s="238"/>
      <c r="G200" s="238"/>
      <c r="H200" s="238"/>
      <c r="I200" s="238"/>
      <c r="J200" s="238"/>
      <c r="K200" s="238"/>
      <c r="L200" s="238"/>
      <c r="M200" s="238"/>
      <c r="N200" s="238"/>
      <c r="O200" s="238"/>
      <c r="P200" s="238"/>
      <c r="Q200" s="238"/>
      <c r="R200" s="238"/>
      <c r="S200" s="239"/>
      <c r="T200" s="233">
        <v>54</v>
      </c>
      <c r="U200" s="234"/>
      <c r="AD200" s="10">
        <v>30</v>
      </c>
      <c r="AE200" s="10">
        <f>AD200*T200/1000</f>
        <v>1.62</v>
      </c>
    </row>
    <row r="201" spans="1:31">
      <c r="E201" s="237" t="s">
        <v>32</v>
      </c>
      <c r="F201" s="238"/>
      <c r="G201" s="238"/>
      <c r="H201" s="238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9"/>
      <c r="T201" s="233">
        <v>2.5</v>
      </c>
      <c r="U201" s="234"/>
      <c r="AD201" s="10">
        <v>140</v>
      </c>
      <c r="AE201" s="10">
        <f t="shared" ref="AE201:AE203" si="17">AD201*T201/1000</f>
        <v>0.35</v>
      </c>
    </row>
    <row r="202" spans="1:31">
      <c r="E202" s="237" t="s">
        <v>19</v>
      </c>
      <c r="F202" s="238"/>
      <c r="G202" s="238"/>
      <c r="H202" s="238"/>
      <c r="I202" s="238"/>
      <c r="J202" s="238"/>
      <c r="K202" s="238"/>
      <c r="L202" s="238"/>
      <c r="M202" s="238"/>
      <c r="N202" s="238"/>
      <c r="O202" s="238"/>
      <c r="P202" s="238"/>
      <c r="Q202" s="238"/>
      <c r="R202" s="238"/>
      <c r="S202" s="239"/>
      <c r="T202" s="233">
        <v>0.6</v>
      </c>
      <c r="U202" s="234"/>
      <c r="AD202" s="10">
        <v>17</v>
      </c>
      <c r="AE202" s="10">
        <f t="shared" si="17"/>
        <v>1.0199999999999999E-2</v>
      </c>
    </row>
    <row r="203" spans="1:31">
      <c r="E203" s="237" t="s">
        <v>20</v>
      </c>
      <c r="F203" s="238"/>
      <c r="G203" s="238"/>
      <c r="H203" s="238"/>
      <c r="I203" s="238"/>
      <c r="J203" s="238"/>
      <c r="K203" s="238"/>
      <c r="L203" s="238"/>
      <c r="M203" s="238"/>
      <c r="N203" s="238"/>
      <c r="O203" s="238"/>
      <c r="P203" s="238"/>
      <c r="Q203" s="238"/>
      <c r="R203" s="238"/>
      <c r="S203" s="239"/>
      <c r="T203" s="235">
        <v>0.2</v>
      </c>
      <c r="U203" s="236"/>
      <c r="AD203" s="10">
        <v>55</v>
      </c>
      <c r="AE203" s="10">
        <f t="shared" si="17"/>
        <v>1.0999999999999999E-2</v>
      </c>
    </row>
    <row r="204" spans="1:31"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20"/>
      <c r="U204" s="20"/>
    </row>
    <row r="205" spans="1:31">
      <c r="C205" s="25" t="s">
        <v>189</v>
      </c>
      <c r="D205" s="74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20"/>
      <c r="U205" s="20">
        <v>20</v>
      </c>
      <c r="AD205" s="10">
        <v>140</v>
      </c>
      <c r="AE205" s="75">
        <f>U205*AD205/1000</f>
        <v>2.8</v>
      </c>
    </row>
    <row r="207" spans="1:31">
      <c r="C207" s="76" t="s">
        <v>76</v>
      </c>
      <c r="D207" s="30">
        <v>30</v>
      </c>
      <c r="E207" s="258" t="s">
        <v>77</v>
      </c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71">
        <v>32.4</v>
      </c>
      <c r="U207" s="271"/>
      <c r="V207" s="30"/>
      <c r="W207" s="30"/>
      <c r="X207" s="30"/>
      <c r="Y207" s="30"/>
      <c r="Z207" s="30"/>
      <c r="AA207" s="30"/>
      <c r="AB207" s="30"/>
      <c r="AC207" s="30"/>
      <c r="AD207" s="31">
        <v>160</v>
      </c>
      <c r="AE207" s="34">
        <f>T207*AD207/1000</f>
        <v>5.1840000000000002</v>
      </c>
    </row>
    <row r="209" spans="3:31" s="1" customFormat="1">
      <c r="C209" s="13" t="s">
        <v>101</v>
      </c>
      <c r="D209" s="1">
        <v>100</v>
      </c>
      <c r="T209" s="182" t="s">
        <v>11</v>
      </c>
      <c r="U209" s="182"/>
      <c r="V209" s="182" t="s">
        <v>12</v>
      </c>
      <c r="W209" s="182"/>
      <c r="AD209" s="10"/>
      <c r="AE209" s="37">
        <f>SUM(AE210:AE220)</f>
        <v>87.543700000000001</v>
      </c>
    </row>
    <row r="210" spans="3:31" s="1" customFormat="1">
      <c r="C210" s="13"/>
      <c r="E210" s="256" t="s">
        <v>63</v>
      </c>
      <c r="F210" s="256"/>
      <c r="G210" s="256"/>
      <c r="H210" s="256"/>
      <c r="I210" s="256"/>
      <c r="J210" s="256"/>
      <c r="K210" s="256"/>
      <c r="L210" s="256"/>
      <c r="M210" s="256"/>
      <c r="N210" s="256"/>
      <c r="O210" s="256"/>
      <c r="P210" s="256"/>
      <c r="Q210" s="256"/>
      <c r="R210" s="256"/>
      <c r="S210" s="256"/>
      <c r="T210" s="257">
        <v>155</v>
      </c>
      <c r="U210" s="257"/>
      <c r="V210" s="257">
        <v>115</v>
      </c>
      <c r="W210" s="257"/>
      <c r="AD210" s="10">
        <v>548</v>
      </c>
      <c r="AE210" s="10">
        <f>T210*AD210/1000</f>
        <v>84.94</v>
      </c>
    </row>
    <row r="211" spans="3:31" s="1" customFormat="1">
      <c r="C211" s="13"/>
      <c r="E211" s="237" t="s">
        <v>66</v>
      </c>
      <c r="F211" s="238"/>
      <c r="G211" s="238"/>
      <c r="H211" s="238"/>
      <c r="I211" s="238"/>
      <c r="J211" s="238"/>
      <c r="K211" s="238"/>
      <c r="L211" s="238"/>
      <c r="M211" s="238"/>
      <c r="N211" s="238"/>
      <c r="O211" s="238"/>
      <c r="P211" s="238"/>
      <c r="Q211" s="238"/>
      <c r="R211" s="238"/>
      <c r="S211" s="239"/>
      <c r="T211" s="233">
        <v>12</v>
      </c>
      <c r="U211" s="234"/>
      <c r="V211" s="233">
        <v>10</v>
      </c>
      <c r="W211" s="234"/>
      <c r="AD211" s="10">
        <v>20</v>
      </c>
      <c r="AE211" s="10">
        <f t="shared" ref="AE211:AE220" si="18">T211*AD211/1000</f>
        <v>0.24</v>
      </c>
    </row>
    <row r="212" spans="3:31" s="1" customFormat="1">
      <c r="C212" s="13"/>
      <c r="E212" s="237" t="s">
        <v>17</v>
      </c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9"/>
      <c r="T212" s="233">
        <v>10</v>
      </c>
      <c r="U212" s="234"/>
      <c r="V212" s="233">
        <v>10</v>
      </c>
      <c r="W212" s="234"/>
      <c r="AD212" s="10">
        <v>0</v>
      </c>
      <c r="AE212" s="10">
        <f t="shared" si="18"/>
        <v>0</v>
      </c>
    </row>
    <row r="213" spans="3:31" s="1" customFormat="1">
      <c r="C213" s="13"/>
      <c r="E213" s="237" t="s">
        <v>102</v>
      </c>
      <c r="F213" s="238"/>
      <c r="G213" s="238"/>
      <c r="H213" s="238"/>
      <c r="I213" s="238"/>
      <c r="J213" s="238"/>
      <c r="K213" s="238"/>
      <c r="L213" s="238"/>
      <c r="M213" s="238"/>
      <c r="N213" s="238"/>
      <c r="O213" s="238"/>
      <c r="P213" s="238"/>
      <c r="Q213" s="238"/>
      <c r="R213" s="238"/>
      <c r="S213" s="239"/>
      <c r="T213" s="233">
        <v>8</v>
      </c>
      <c r="U213" s="234"/>
      <c r="V213" s="233">
        <v>8</v>
      </c>
      <c r="W213" s="234"/>
      <c r="AD213" s="10">
        <v>140</v>
      </c>
      <c r="AE213" s="10">
        <f t="shared" si="18"/>
        <v>1.1200000000000001</v>
      </c>
    </row>
    <row r="214" spans="3:31" s="1" customFormat="1">
      <c r="C214" s="13"/>
      <c r="E214" s="237" t="s">
        <v>19</v>
      </c>
      <c r="F214" s="238"/>
      <c r="G214" s="238"/>
      <c r="H214" s="238"/>
      <c r="I214" s="238"/>
      <c r="J214" s="238"/>
      <c r="K214" s="238"/>
      <c r="L214" s="238"/>
      <c r="M214" s="238"/>
      <c r="N214" s="238"/>
      <c r="O214" s="238"/>
      <c r="P214" s="238"/>
      <c r="Q214" s="238"/>
      <c r="R214" s="238"/>
      <c r="S214" s="239"/>
      <c r="T214" s="235">
        <v>0.7</v>
      </c>
      <c r="U214" s="236"/>
      <c r="V214" s="233">
        <v>0.7</v>
      </c>
      <c r="W214" s="234"/>
      <c r="AD214" s="10">
        <v>17</v>
      </c>
      <c r="AE214" s="10">
        <f t="shared" si="18"/>
        <v>1.1899999999999999E-2</v>
      </c>
    </row>
    <row r="215" spans="3:31" s="1" customFormat="1">
      <c r="C215" s="13"/>
      <c r="E215" s="297" t="s">
        <v>103</v>
      </c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9"/>
      <c r="T215" s="233"/>
      <c r="U215" s="234"/>
      <c r="V215" s="233"/>
      <c r="W215" s="234"/>
      <c r="AD215" s="10"/>
      <c r="AE215" s="10">
        <f t="shared" si="18"/>
        <v>0</v>
      </c>
    </row>
    <row r="216" spans="3:31" s="1" customFormat="1">
      <c r="C216" s="13"/>
      <c r="E216" s="237" t="s">
        <v>16</v>
      </c>
      <c r="F216" s="238"/>
      <c r="G216" s="238"/>
      <c r="H216" s="238"/>
      <c r="I216" s="238"/>
      <c r="J216" s="238"/>
      <c r="K216" s="238"/>
      <c r="L216" s="238"/>
      <c r="M216" s="238"/>
      <c r="N216" s="238"/>
      <c r="O216" s="238"/>
      <c r="P216" s="238"/>
      <c r="Q216" s="238"/>
      <c r="R216" s="238"/>
      <c r="S216" s="239"/>
      <c r="T216" s="233">
        <v>10</v>
      </c>
      <c r="U216" s="234"/>
      <c r="V216" s="233">
        <v>10</v>
      </c>
      <c r="W216" s="234"/>
      <c r="AD216" s="10">
        <v>48.17</v>
      </c>
      <c r="AE216" s="10">
        <f t="shared" si="18"/>
        <v>0.48170000000000007</v>
      </c>
    </row>
    <row r="217" spans="3:31" s="1" customFormat="1">
      <c r="C217" s="13"/>
      <c r="E217" s="237" t="s">
        <v>104</v>
      </c>
      <c r="F217" s="238"/>
      <c r="G217" s="238"/>
      <c r="H217" s="238"/>
      <c r="I217" s="238"/>
      <c r="J217" s="238"/>
      <c r="K217" s="238"/>
      <c r="L217" s="238"/>
      <c r="M217" s="238"/>
      <c r="N217" s="238"/>
      <c r="O217" s="238"/>
      <c r="P217" s="238"/>
      <c r="Q217" s="238"/>
      <c r="R217" s="238"/>
      <c r="S217" s="239"/>
      <c r="T217" s="233">
        <v>5</v>
      </c>
      <c r="U217" s="234"/>
      <c r="V217" s="233">
        <v>5</v>
      </c>
      <c r="W217" s="234"/>
      <c r="AD217" s="10">
        <v>37</v>
      </c>
      <c r="AE217" s="10">
        <f t="shared" si="18"/>
        <v>0.185</v>
      </c>
    </row>
    <row r="218" spans="3:31" s="1" customFormat="1">
      <c r="C218" s="13"/>
      <c r="E218" s="237" t="s">
        <v>18</v>
      </c>
      <c r="F218" s="238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  <c r="Q218" s="238"/>
      <c r="R218" s="238"/>
      <c r="S218" s="239"/>
      <c r="T218" s="233">
        <v>1</v>
      </c>
      <c r="U218" s="234"/>
      <c r="V218" s="233">
        <v>1</v>
      </c>
      <c r="W218" s="234"/>
      <c r="AD218" s="10">
        <v>550</v>
      </c>
      <c r="AE218" s="10">
        <f t="shared" si="18"/>
        <v>0.55000000000000004</v>
      </c>
    </row>
    <row r="219" spans="3:31" s="1" customFormat="1">
      <c r="C219" s="13"/>
      <c r="E219" s="237" t="s">
        <v>105</v>
      </c>
      <c r="F219" s="238"/>
      <c r="G219" s="238"/>
      <c r="H219" s="238"/>
      <c r="I219" s="238"/>
      <c r="J219" s="238"/>
      <c r="K219" s="238"/>
      <c r="L219" s="238"/>
      <c r="M219" s="238"/>
      <c r="N219" s="238"/>
      <c r="O219" s="238"/>
      <c r="P219" s="238"/>
      <c r="Q219" s="238"/>
      <c r="R219" s="238"/>
      <c r="S219" s="239"/>
      <c r="T219" s="292">
        <v>0.01</v>
      </c>
      <c r="U219" s="293"/>
      <c r="V219" s="292">
        <v>0.01</v>
      </c>
      <c r="W219" s="293"/>
      <c r="AD219" s="10">
        <v>1000</v>
      </c>
      <c r="AE219" s="10">
        <f t="shared" si="18"/>
        <v>0.01</v>
      </c>
    </row>
    <row r="220" spans="3:31" s="1" customFormat="1">
      <c r="C220" s="13"/>
      <c r="E220" s="256" t="s">
        <v>19</v>
      </c>
      <c r="F220" s="256"/>
      <c r="G220" s="256"/>
      <c r="H220" s="256"/>
      <c r="I220" s="256"/>
      <c r="J220" s="256"/>
      <c r="K220" s="256"/>
      <c r="L220" s="256"/>
      <c r="M220" s="256"/>
      <c r="N220" s="256"/>
      <c r="O220" s="256"/>
      <c r="P220" s="256"/>
      <c r="Q220" s="256"/>
      <c r="R220" s="256"/>
      <c r="S220" s="256"/>
      <c r="T220" s="257">
        <v>0.3</v>
      </c>
      <c r="U220" s="257"/>
      <c r="V220" s="295">
        <v>0.3</v>
      </c>
      <c r="W220" s="296"/>
      <c r="AD220" s="10">
        <v>17</v>
      </c>
      <c r="AE220" s="10">
        <f t="shared" si="18"/>
        <v>5.0999999999999995E-3</v>
      </c>
    </row>
    <row r="221" spans="3:31" s="1" customFormat="1">
      <c r="C221" s="13"/>
      <c r="E221" s="289" t="s">
        <v>21</v>
      </c>
      <c r="F221" s="289"/>
      <c r="G221" s="289"/>
      <c r="H221" s="289"/>
      <c r="I221" s="289"/>
      <c r="J221" s="289"/>
      <c r="K221" s="289"/>
      <c r="L221" s="289"/>
      <c r="M221" s="289"/>
      <c r="N221" s="289"/>
      <c r="O221" s="289"/>
      <c r="P221" s="289"/>
      <c r="Q221" s="289"/>
      <c r="R221" s="289"/>
      <c r="S221" s="289"/>
      <c r="T221" s="290" t="s">
        <v>22</v>
      </c>
      <c r="U221" s="290"/>
      <c r="V221" s="290">
        <v>100</v>
      </c>
      <c r="W221" s="290"/>
      <c r="AD221" s="10"/>
      <c r="AE221" s="10"/>
    </row>
    <row r="223" spans="3:31" s="1" customFormat="1">
      <c r="C223" s="13" t="s">
        <v>106</v>
      </c>
      <c r="D223" s="1">
        <v>180</v>
      </c>
      <c r="T223" s="182" t="s">
        <v>11</v>
      </c>
      <c r="U223" s="182"/>
      <c r="V223" s="182" t="s">
        <v>12</v>
      </c>
      <c r="W223" s="182"/>
      <c r="AD223" s="10"/>
      <c r="AE223" s="37">
        <f>SUM(AE224:AE228)</f>
        <v>4.8351000000000006</v>
      </c>
    </row>
    <row r="224" spans="3:31" s="1" customFormat="1">
      <c r="C224" s="13"/>
      <c r="E224" s="256" t="s">
        <v>38</v>
      </c>
      <c r="F224" s="256"/>
      <c r="G224" s="256"/>
      <c r="H224" s="256"/>
      <c r="I224" s="256"/>
      <c r="J224" s="256"/>
      <c r="K224" s="256"/>
      <c r="L224" s="256"/>
      <c r="M224" s="256"/>
      <c r="N224" s="256"/>
      <c r="O224" s="256"/>
      <c r="P224" s="256"/>
      <c r="Q224" s="256"/>
      <c r="R224" s="256"/>
      <c r="S224" s="256"/>
      <c r="T224" s="257">
        <v>16</v>
      </c>
      <c r="U224" s="257"/>
      <c r="V224" s="257">
        <v>16</v>
      </c>
      <c r="W224" s="257"/>
      <c r="AD224" s="10">
        <v>75</v>
      </c>
      <c r="AE224" s="10">
        <f>T224*AD224/1000</f>
        <v>1.2</v>
      </c>
    </row>
    <row r="225" spans="1:31">
      <c r="E225" s="237" t="s">
        <v>17</v>
      </c>
      <c r="F225" s="238"/>
      <c r="G225" s="238"/>
      <c r="H225" s="238"/>
      <c r="I225" s="238"/>
      <c r="J225" s="238"/>
      <c r="K225" s="238"/>
      <c r="L225" s="238"/>
      <c r="M225" s="238"/>
      <c r="N225" s="238"/>
      <c r="O225" s="238"/>
      <c r="P225" s="238"/>
      <c r="Q225" s="238"/>
      <c r="R225" s="238"/>
      <c r="S225" s="239"/>
      <c r="T225" s="233">
        <v>142</v>
      </c>
      <c r="U225" s="234"/>
      <c r="V225" s="233">
        <v>142</v>
      </c>
      <c r="W225" s="234"/>
      <c r="AD225" s="10">
        <v>0</v>
      </c>
      <c r="AE225" s="10">
        <f t="shared" ref="AE225:AE228" si="19">T225*AD225/1000</f>
        <v>0</v>
      </c>
    </row>
    <row r="226" spans="1:31">
      <c r="E226" s="256" t="s">
        <v>51</v>
      </c>
      <c r="F226" s="256"/>
      <c r="G226" s="256"/>
      <c r="H226" s="256"/>
      <c r="I226" s="256"/>
      <c r="J226" s="256"/>
      <c r="K226" s="256"/>
      <c r="L226" s="256"/>
      <c r="M226" s="256"/>
      <c r="N226" s="256"/>
      <c r="O226" s="256"/>
      <c r="P226" s="256"/>
      <c r="Q226" s="256"/>
      <c r="R226" s="256"/>
      <c r="S226" s="256"/>
      <c r="T226" s="257">
        <v>20</v>
      </c>
      <c r="U226" s="257"/>
      <c r="V226" s="257">
        <v>20</v>
      </c>
      <c r="W226" s="257"/>
      <c r="AD226" s="10">
        <v>44</v>
      </c>
      <c r="AE226" s="10">
        <f t="shared" si="19"/>
        <v>0.88</v>
      </c>
    </row>
    <row r="227" spans="1:31">
      <c r="E227" s="256" t="s">
        <v>19</v>
      </c>
      <c r="F227" s="256"/>
      <c r="G227" s="256"/>
      <c r="H227" s="256"/>
      <c r="I227" s="256"/>
      <c r="J227" s="256"/>
      <c r="K227" s="256"/>
      <c r="L227" s="256"/>
      <c r="M227" s="256"/>
      <c r="N227" s="256"/>
      <c r="O227" s="256"/>
      <c r="P227" s="256"/>
      <c r="Q227" s="256"/>
      <c r="R227" s="256"/>
      <c r="S227" s="256"/>
      <c r="T227" s="257">
        <v>0.3</v>
      </c>
      <c r="U227" s="257"/>
      <c r="V227" s="257">
        <v>0.3</v>
      </c>
      <c r="W227" s="257"/>
      <c r="AD227" s="10">
        <v>17</v>
      </c>
      <c r="AE227" s="10">
        <f t="shared" si="19"/>
        <v>5.0999999999999995E-3</v>
      </c>
    </row>
    <row r="228" spans="1:31">
      <c r="E228" s="256" t="s">
        <v>18</v>
      </c>
      <c r="F228" s="256"/>
      <c r="G228" s="256"/>
      <c r="H228" s="256"/>
      <c r="I228" s="256"/>
      <c r="J228" s="256"/>
      <c r="K228" s="256"/>
      <c r="L228" s="256"/>
      <c r="M228" s="256"/>
      <c r="N228" s="256"/>
      <c r="O228" s="256"/>
      <c r="P228" s="256"/>
      <c r="Q228" s="256"/>
      <c r="R228" s="256"/>
      <c r="S228" s="256"/>
      <c r="T228" s="257">
        <v>5</v>
      </c>
      <c r="U228" s="257"/>
      <c r="V228" s="257">
        <v>5</v>
      </c>
      <c r="W228" s="257"/>
      <c r="AD228" s="10">
        <v>550</v>
      </c>
      <c r="AE228" s="10">
        <f t="shared" si="19"/>
        <v>2.75</v>
      </c>
    </row>
    <row r="229" spans="1:31">
      <c r="E229" s="289" t="s">
        <v>21</v>
      </c>
      <c r="F229" s="289"/>
      <c r="G229" s="289"/>
      <c r="H229" s="289"/>
      <c r="I229" s="289"/>
      <c r="J229" s="289"/>
      <c r="K229" s="289"/>
      <c r="L229" s="289"/>
      <c r="M229" s="289"/>
      <c r="N229" s="289"/>
      <c r="O229" s="289"/>
      <c r="P229" s="289"/>
      <c r="Q229" s="289"/>
      <c r="R229" s="289"/>
      <c r="S229" s="289"/>
      <c r="T229" s="290" t="s">
        <v>22</v>
      </c>
      <c r="U229" s="290"/>
      <c r="V229" s="291">
        <v>180</v>
      </c>
      <c r="W229" s="291"/>
    </row>
    <row r="231" spans="1:31">
      <c r="C231" s="13" t="s">
        <v>57</v>
      </c>
      <c r="D231" s="1">
        <v>200</v>
      </c>
      <c r="T231" s="182" t="s">
        <v>11</v>
      </c>
      <c r="U231" s="182"/>
      <c r="V231" s="182" t="s">
        <v>12</v>
      </c>
      <c r="W231" s="182"/>
      <c r="AE231" s="37">
        <f>AE232+AE233</f>
        <v>1.125</v>
      </c>
    </row>
    <row r="232" spans="1:31">
      <c r="E232" s="183" t="s">
        <v>58</v>
      </c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4">
        <v>0.6</v>
      </c>
      <c r="U232" s="184"/>
      <c r="V232" s="184">
        <v>0.6</v>
      </c>
      <c r="W232" s="184"/>
      <c r="AD232" s="10">
        <v>500</v>
      </c>
      <c r="AE232" s="10">
        <f>AD232*T232/1000</f>
        <v>0.3</v>
      </c>
    </row>
    <row r="233" spans="1:31">
      <c r="E233" s="185" t="s">
        <v>20</v>
      </c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7"/>
      <c r="T233" s="188">
        <v>15</v>
      </c>
      <c r="U233" s="189"/>
      <c r="V233" s="188">
        <v>15</v>
      </c>
      <c r="W233" s="189"/>
      <c r="AD233" s="10">
        <v>55</v>
      </c>
      <c r="AE233" s="10">
        <f>AD233*T233/1000</f>
        <v>0.82499999999999996</v>
      </c>
    </row>
    <row r="234" spans="1:31">
      <c r="E234" s="190" t="s">
        <v>21</v>
      </c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1" t="s">
        <v>22</v>
      </c>
      <c r="U234" s="191"/>
      <c r="V234" s="192">
        <v>200</v>
      </c>
      <c r="W234" s="192"/>
    </row>
    <row r="236" spans="1:31">
      <c r="C236" s="13" t="s">
        <v>26</v>
      </c>
      <c r="D236" s="1">
        <v>40</v>
      </c>
      <c r="AD236" s="10">
        <v>45.54</v>
      </c>
      <c r="AE236" s="37">
        <f>D236*AD236/1000</f>
        <v>1.8215999999999999</v>
      </c>
    </row>
    <row r="238" spans="1:31">
      <c r="A238" s="13" t="s">
        <v>107</v>
      </c>
      <c r="B238" s="13" t="s">
        <v>1</v>
      </c>
    </row>
    <row r="239" spans="1:31">
      <c r="B239" s="46">
        <f>AE239+AE241+AE245+AE257+AE259</f>
        <v>72.154931269349859</v>
      </c>
      <c r="C239" s="13" t="s">
        <v>212</v>
      </c>
      <c r="D239" s="1">
        <v>100</v>
      </c>
      <c r="AD239" s="34">
        <v>62.4</v>
      </c>
      <c r="AE239" s="22">
        <f>D239*AD239/1000</f>
        <v>6.24</v>
      </c>
    </row>
    <row r="241" spans="3:31" s="1" customFormat="1">
      <c r="C241" s="13" t="s">
        <v>108</v>
      </c>
      <c r="D241" s="1">
        <v>30</v>
      </c>
      <c r="T241" s="40" t="s">
        <v>11</v>
      </c>
      <c r="U241" s="40" t="s">
        <v>12</v>
      </c>
      <c r="AD241" s="10"/>
      <c r="AE241" s="22">
        <f>AE242</f>
        <v>9.473684210526315</v>
      </c>
    </row>
    <row r="242" spans="3:31" s="1" customFormat="1">
      <c r="C242" s="13"/>
      <c r="E242" s="275" t="s">
        <v>109</v>
      </c>
      <c r="F242" s="276"/>
      <c r="G242" s="276"/>
      <c r="H242" s="276"/>
      <c r="I242" s="277"/>
      <c r="T242" s="41">
        <f>U243</f>
        <v>30</v>
      </c>
      <c r="U242" s="41">
        <f t="shared" ref="U242" si="20">T242</f>
        <v>30</v>
      </c>
      <c r="AD242" s="10">
        <v>120</v>
      </c>
      <c r="AE242" s="10">
        <f>AD242/380*T242</f>
        <v>9.473684210526315</v>
      </c>
    </row>
    <row r="243" spans="3:31" s="1" customFormat="1">
      <c r="C243" s="13"/>
      <c r="E243" s="278" t="s">
        <v>21</v>
      </c>
      <c r="F243" s="279"/>
      <c r="G243" s="279"/>
      <c r="H243" s="279"/>
      <c r="I243" s="280"/>
      <c r="T243" s="42" t="s">
        <v>22</v>
      </c>
      <c r="U243" s="43">
        <v>30</v>
      </c>
      <c r="AD243" s="10"/>
      <c r="AE243" s="10"/>
    </row>
    <row r="245" spans="3:31" s="1" customFormat="1">
      <c r="C245" s="13" t="s">
        <v>110</v>
      </c>
      <c r="D245" s="1">
        <v>200</v>
      </c>
      <c r="T245" s="182" t="s">
        <v>11</v>
      </c>
      <c r="U245" s="182"/>
      <c r="V245" s="182" t="s">
        <v>12</v>
      </c>
      <c r="W245" s="182"/>
      <c r="AD245" s="10"/>
      <c r="AE245" s="22">
        <f>SUM(AE246:AE254)</f>
        <v>45.275647058823544</v>
      </c>
    </row>
    <row r="246" spans="3:31" s="1" customFormat="1">
      <c r="C246" s="13"/>
      <c r="E246" s="256" t="s">
        <v>50</v>
      </c>
      <c r="F246" s="256"/>
      <c r="G246" s="256"/>
      <c r="H246" s="256"/>
      <c r="I246" s="256"/>
      <c r="J246" s="256"/>
      <c r="K246" s="256"/>
      <c r="L246" s="256"/>
      <c r="M246" s="256"/>
      <c r="N246" s="256"/>
      <c r="O246" s="256"/>
      <c r="P246" s="256"/>
      <c r="Q246" s="256"/>
      <c r="R246" s="256"/>
      <c r="S246" s="256"/>
      <c r="T246" s="294">
        <v>157.64705882352942</v>
      </c>
      <c r="U246" s="294"/>
      <c r="V246" s="294">
        <v>157.64705882352942</v>
      </c>
      <c r="W246" s="294"/>
      <c r="AD246" s="10">
        <v>239.45</v>
      </c>
      <c r="AE246" s="10">
        <f>AD246*T246/1000</f>
        <v>37.748588235294122</v>
      </c>
    </row>
    <row r="247" spans="3:31" s="1" customFormat="1">
      <c r="C247" s="13"/>
      <c r="E247" s="237" t="s">
        <v>38</v>
      </c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9"/>
      <c r="T247" s="292">
        <v>21.176470588235293</v>
      </c>
      <c r="U247" s="293"/>
      <c r="V247" s="294">
        <v>21.176470588235293</v>
      </c>
      <c r="W247" s="294"/>
      <c r="AD247" s="10">
        <v>75</v>
      </c>
      <c r="AE247" s="10">
        <f t="shared" ref="AE247:AE254" si="21">AD247*T247/1000</f>
        <v>1.588235294117647</v>
      </c>
    </row>
    <row r="248" spans="3:31" s="1" customFormat="1">
      <c r="C248" s="13"/>
      <c r="E248" s="237" t="s">
        <v>16</v>
      </c>
      <c r="F248" s="238"/>
      <c r="G248" s="238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9"/>
      <c r="T248" s="292">
        <v>47.058823529411768</v>
      </c>
      <c r="U248" s="293"/>
      <c r="V248" s="294">
        <v>47.058823529411768</v>
      </c>
      <c r="W248" s="294"/>
      <c r="AD248" s="10">
        <v>48.17</v>
      </c>
      <c r="AE248" s="10">
        <f t="shared" si="21"/>
        <v>2.2668235294117647</v>
      </c>
    </row>
    <row r="249" spans="3:31" s="1" customFormat="1">
      <c r="C249" s="13"/>
      <c r="E249" s="237" t="s">
        <v>53</v>
      </c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9"/>
      <c r="T249" s="292">
        <v>2.3529411764705882E-2</v>
      </c>
      <c r="U249" s="293"/>
      <c r="V249" s="294">
        <v>2.3529411764705882E-2</v>
      </c>
      <c r="W249" s="294"/>
      <c r="AD249" s="10">
        <v>1200</v>
      </c>
      <c r="AE249" s="10">
        <f t="shared" si="21"/>
        <v>2.8235294117647056E-2</v>
      </c>
    </row>
    <row r="250" spans="3:31" s="1" customFormat="1">
      <c r="C250" s="13"/>
      <c r="E250" s="237" t="s">
        <v>52</v>
      </c>
      <c r="F250" s="238"/>
      <c r="G250" s="238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9"/>
      <c r="T250" s="292">
        <v>10.588235294117647</v>
      </c>
      <c r="U250" s="293"/>
      <c r="V250" s="294">
        <v>10.588235294117647</v>
      </c>
      <c r="W250" s="294"/>
      <c r="AD250" s="10">
        <v>140</v>
      </c>
      <c r="AE250" s="10">
        <f t="shared" si="21"/>
        <v>1.4823529411764704</v>
      </c>
    </row>
    <row r="251" spans="3:31" s="1" customFormat="1">
      <c r="C251" s="13"/>
      <c r="E251" s="237" t="s">
        <v>20</v>
      </c>
      <c r="F251" s="238"/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9"/>
      <c r="T251" s="292">
        <v>3.5294117647058822</v>
      </c>
      <c r="U251" s="293"/>
      <c r="V251" s="294">
        <v>3.5294117647058822</v>
      </c>
      <c r="W251" s="294"/>
      <c r="AD251" s="10">
        <v>55</v>
      </c>
      <c r="AE251" s="10">
        <f t="shared" si="21"/>
        <v>0.19411764705882353</v>
      </c>
    </row>
    <row r="252" spans="3:31" s="1" customFormat="1">
      <c r="C252" s="13"/>
      <c r="E252" s="237" t="s">
        <v>55</v>
      </c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9"/>
      <c r="T252" s="292">
        <v>1.7647058823529411</v>
      </c>
      <c r="U252" s="293"/>
      <c r="V252" s="294">
        <v>1.7647058823529411</v>
      </c>
      <c r="W252" s="294"/>
      <c r="AD252" s="10">
        <v>150</v>
      </c>
      <c r="AE252" s="10">
        <f t="shared" si="21"/>
        <v>0.26470588235294118</v>
      </c>
    </row>
    <row r="253" spans="3:31" s="1" customFormat="1">
      <c r="C253" s="13"/>
      <c r="E253" s="237" t="s">
        <v>54</v>
      </c>
      <c r="F253" s="238"/>
      <c r="G253" s="238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9"/>
      <c r="T253" s="292">
        <v>2.3529411764705883</v>
      </c>
      <c r="U253" s="293"/>
      <c r="V253" s="294">
        <v>2.3529411764705883</v>
      </c>
      <c r="W253" s="294"/>
      <c r="AD253" s="10">
        <v>173.6</v>
      </c>
      <c r="AE253" s="10">
        <f t="shared" si="21"/>
        <v>0.40847058823529414</v>
      </c>
    </row>
    <row r="254" spans="3:31" s="1" customFormat="1">
      <c r="C254" s="13"/>
      <c r="E254" s="237" t="s">
        <v>18</v>
      </c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9"/>
      <c r="T254" s="292">
        <v>2.3529411764705883</v>
      </c>
      <c r="U254" s="293"/>
      <c r="V254" s="294">
        <v>2.3529411764705883</v>
      </c>
      <c r="W254" s="294"/>
      <c r="AD254" s="10">
        <v>550</v>
      </c>
      <c r="AE254" s="10">
        <f t="shared" si="21"/>
        <v>1.2941176470588236</v>
      </c>
    </row>
    <row r="255" spans="3:31" s="1" customFormat="1">
      <c r="C255" s="13"/>
      <c r="E255" s="289" t="s">
        <v>21</v>
      </c>
      <c r="F255" s="289"/>
      <c r="G255" s="289"/>
      <c r="H255" s="289"/>
      <c r="I255" s="289"/>
      <c r="J255" s="289"/>
      <c r="K255" s="289"/>
      <c r="L255" s="289"/>
      <c r="M255" s="289"/>
      <c r="N255" s="289"/>
      <c r="O255" s="289"/>
      <c r="P255" s="289"/>
      <c r="Q255" s="289"/>
      <c r="R255" s="289"/>
      <c r="S255" s="289"/>
      <c r="T255" s="290" t="s">
        <v>22</v>
      </c>
      <c r="U255" s="290"/>
      <c r="V255" s="291">
        <v>200</v>
      </c>
      <c r="W255" s="291"/>
      <c r="AD255" s="10"/>
      <c r="AE255" s="10"/>
    </row>
    <row r="257" spans="1:31">
      <c r="C257" s="13" t="s">
        <v>92</v>
      </c>
      <c r="D257" s="1">
        <v>200</v>
      </c>
      <c r="E257" s="183" t="s">
        <v>93</v>
      </c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281">
        <v>200</v>
      </c>
      <c r="U257" s="281"/>
      <c r="V257" s="281">
        <v>200</v>
      </c>
      <c r="W257" s="281"/>
      <c r="AD257" s="10">
        <v>45</v>
      </c>
      <c r="AE257" s="22">
        <f>T257*AD257/1000</f>
        <v>9</v>
      </c>
    </row>
    <row r="259" spans="1:31">
      <c r="C259" s="13" t="s">
        <v>59</v>
      </c>
      <c r="D259" s="1">
        <v>40</v>
      </c>
      <c r="AD259" s="10">
        <v>54.14</v>
      </c>
      <c r="AE259" s="22">
        <f>D259*AD259/1000</f>
        <v>2.1656</v>
      </c>
    </row>
    <row r="261" spans="1:31">
      <c r="A261" s="13" t="s">
        <v>111</v>
      </c>
      <c r="B261" s="13" t="s">
        <v>1</v>
      </c>
      <c r="C261" s="76" t="s">
        <v>112</v>
      </c>
      <c r="D261" s="30">
        <v>30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195" t="s">
        <v>11</v>
      </c>
      <c r="U261" s="195"/>
      <c r="V261" s="195" t="s">
        <v>12</v>
      </c>
      <c r="W261" s="195"/>
      <c r="X261" s="30"/>
      <c r="Y261" s="30"/>
      <c r="Z261" s="30"/>
      <c r="AA261" s="30"/>
      <c r="AB261" s="30"/>
      <c r="AC261" s="30"/>
      <c r="AD261" s="31"/>
      <c r="AE261" s="80">
        <f>SUM(AE262:AE266)</f>
        <v>2.8307992700729927</v>
      </c>
    </row>
    <row r="262" spans="1:31">
      <c r="B262" s="45">
        <f>AE261+AE269+AE271+AE288+AE294+AE296+AE303</f>
        <v>76.520999270073006</v>
      </c>
      <c r="C262" s="76"/>
      <c r="D262" s="30"/>
      <c r="E262" s="196" t="s">
        <v>113</v>
      </c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7">
        <f>10*V267/30</f>
        <v>10</v>
      </c>
      <c r="U262" s="197"/>
      <c r="V262" s="197">
        <f>30*V267/30</f>
        <v>30</v>
      </c>
      <c r="W262" s="197"/>
      <c r="X262" s="30"/>
      <c r="Y262" s="30"/>
      <c r="Z262" s="30"/>
      <c r="AA262" s="30"/>
      <c r="AB262" s="30"/>
      <c r="AC262" s="30"/>
      <c r="AD262" s="31">
        <v>110</v>
      </c>
      <c r="AE262" s="31">
        <f>AD262/548*T262</f>
        <v>2.0072992700729926</v>
      </c>
    </row>
    <row r="263" spans="1:31">
      <c r="C263" s="76"/>
      <c r="D263" s="30"/>
      <c r="E263" s="253" t="s">
        <v>66</v>
      </c>
      <c r="F263" s="254"/>
      <c r="G263" s="254"/>
      <c r="H263" s="254"/>
      <c r="I263" s="254"/>
      <c r="J263" s="254"/>
      <c r="K263" s="254"/>
      <c r="L263" s="254"/>
      <c r="M263" s="254"/>
      <c r="N263" s="254"/>
      <c r="O263" s="254"/>
      <c r="P263" s="254"/>
      <c r="Q263" s="254"/>
      <c r="R263" s="254"/>
      <c r="S263" s="255"/>
      <c r="T263" s="251">
        <f>6*V267/30</f>
        <v>6</v>
      </c>
      <c r="U263" s="252"/>
      <c r="V263" s="251">
        <f>4*V267/30</f>
        <v>4</v>
      </c>
      <c r="W263" s="252"/>
      <c r="X263" s="30"/>
      <c r="Y263" s="30"/>
      <c r="Z263" s="30"/>
      <c r="AA263" s="30"/>
      <c r="AB263" s="30"/>
      <c r="AC263" s="30"/>
      <c r="AD263" s="31">
        <v>20</v>
      </c>
      <c r="AE263" s="31">
        <f t="shared" ref="AE263:AE266" si="22">T263*AD263/1000</f>
        <v>0.12</v>
      </c>
    </row>
    <row r="264" spans="1:31">
      <c r="C264" s="76"/>
      <c r="D264" s="30"/>
      <c r="E264" s="253" t="s">
        <v>32</v>
      </c>
      <c r="F264" s="254"/>
      <c r="G264" s="254"/>
      <c r="H264" s="254"/>
      <c r="I264" s="254"/>
      <c r="J264" s="254"/>
      <c r="K264" s="254"/>
      <c r="L264" s="254"/>
      <c r="M264" s="254"/>
      <c r="N264" s="254"/>
      <c r="O264" s="254"/>
      <c r="P264" s="254"/>
      <c r="Q264" s="254"/>
      <c r="R264" s="254"/>
      <c r="S264" s="255"/>
      <c r="T264" s="251">
        <f>4*V267/30</f>
        <v>4</v>
      </c>
      <c r="U264" s="252"/>
      <c r="V264" s="251">
        <f>T264</f>
        <v>4</v>
      </c>
      <c r="W264" s="252"/>
      <c r="X264" s="30"/>
      <c r="Y264" s="30"/>
      <c r="Z264" s="30"/>
      <c r="AA264" s="30"/>
      <c r="AB264" s="30"/>
      <c r="AC264" s="30"/>
      <c r="AD264" s="31">
        <v>140</v>
      </c>
      <c r="AE264" s="31">
        <f t="shared" si="22"/>
        <v>0.56000000000000005</v>
      </c>
    </row>
    <row r="265" spans="1:31">
      <c r="C265" s="76"/>
      <c r="D265" s="30"/>
      <c r="E265" s="253" t="s">
        <v>114</v>
      </c>
      <c r="F265" s="254"/>
      <c r="G265" s="254"/>
      <c r="H265" s="254"/>
      <c r="I265" s="254"/>
      <c r="J265" s="254"/>
      <c r="K265" s="254"/>
      <c r="L265" s="254"/>
      <c r="M265" s="254"/>
      <c r="N265" s="254"/>
      <c r="O265" s="254"/>
      <c r="P265" s="254"/>
      <c r="Q265" s="254"/>
      <c r="R265" s="254"/>
      <c r="S265" s="255"/>
      <c r="T265" s="251">
        <f>1*V267/30</f>
        <v>1</v>
      </c>
      <c r="U265" s="252"/>
      <c r="V265" s="251">
        <f>T265</f>
        <v>1</v>
      </c>
      <c r="W265" s="252"/>
      <c r="X265" s="30"/>
      <c r="Y265" s="30"/>
      <c r="Z265" s="30"/>
      <c r="AA265" s="30"/>
      <c r="AB265" s="30"/>
      <c r="AC265" s="30"/>
      <c r="AD265" s="31">
        <v>135</v>
      </c>
      <c r="AE265" s="31">
        <f t="shared" si="22"/>
        <v>0.13500000000000001</v>
      </c>
    </row>
    <row r="266" spans="1:31">
      <c r="C266" s="76"/>
      <c r="D266" s="30"/>
      <c r="E266" s="196" t="s">
        <v>19</v>
      </c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7">
        <f>0.5*V267/30</f>
        <v>0.5</v>
      </c>
      <c r="U266" s="197"/>
      <c r="V266" s="197">
        <f>T266</f>
        <v>0.5</v>
      </c>
      <c r="W266" s="197"/>
      <c r="X266" s="30"/>
      <c r="Y266" s="30"/>
      <c r="Z266" s="30"/>
      <c r="AA266" s="30"/>
      <c r="AB266" s="30"/>
      <c r="AC266" s="30"/>
      <c r="AD266" s="31">
        <v>17</v>
      </c>
      <c r="AE266" s="31">
        <f t="shared" si="22"/>
        <v>8.5000000000000006E-3</v>
      </c>
    </row>
    <row r="267" spans="1:31">
      <c r="C267" s="76"/>
      <c r="D267" s="30"/>
      <c r="E267" s="198" t="s">
        <v>21</v>
      </c>
      <c r="F267" s="198"/>
      <c r="G267" s="198"/>
      <c r="H267" s="198"/>
      <c r="I267" s="198"/>
      <c r="J267" s="198"/>
      <c r="K267" s="198"/>
      <c r="L267" s="198"/>
      <c r="M267" s="198"/>
      <c r="N267" s="198"/>
      <c r="O267" s="198"/>
      <c r="P267" s="198"/>
      <c r="Q267" s="198"/>
      <c r="R267" s="198"/>
      <c r="S267" s="198"/>
      <c r="T267" s="199" t="s">
        <v>22</v>
      </c>
      <c r="U267" s="199"/>
      <c r="V267" s="200">
        <v>30</v>
      </c>
      <c r="W267" s="200"/>
      <c r="X267" s="30"/>
      <c r="Y267" s="30"/>
      <c r="Z267" s="30"/>
      <c r="AA267" s="30"/>
      <c r="AB267" s="30"/>
      <c r="AC267" s="30"/>
      <c r="AD267" s="31"/>
      <c r="AE267" s="31"/>
    </row>
    <row r="269" spans="1:31">
      <c r="C269" s="13" t="s">
        <v>30</v>
      </c>
      <c r="D269" s="1">
        <v>40</v>
      </c>
      <c r="T269" s="1">
        <v>42</v>
      </c>
      <c r="AD269" s="10">
        <v>150</v>
      </c>
      <c r="AE269" s="39">
        <f>AD269*T269/1000</f>
        <v>6.3</v>
      </c>
    </row>
    <row r="271" spans="1:31">
      <c r="C271" s="13" t="s">
        <v>115</v>
      </c>
      <c r="D271" s="1" t="s">
        <v>116</v>
      </c>
      <c r="T271" s="182" t="s">
        <v>11</v>
      </c>
      <c r="U271" s="182"/>
      <c r="V271" s="182" t="s">
        <v>12</v>
      </c>
      <c r="W271" s="182"/>
      <c r="AE271" s="39">
        <f>SUM(AE272:AE285)</f>
        <v>46.551500000000004</v>
      </c>
    </row>
    <row r="272" spans="1:31">
      <c r="E272" s="183" t="s">
        <v>34</v>
      </c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4">
        <v>79</v>
      </c>
      <c r="U272" s="184"/>
      <c r="V272" s="184">
        <v>57</v>
      </c>
      <c r="W272" s="184"/>
      <c r="AD272" s="10">
        <v>548</v>
      </c>
      <c r="AE272" s="10">
        <f>T272*AD272/1000</f>
        <v>43.292000000000002</v>
      </c>
    </row>
    <row r="273" spans="3:31" s="1" customFormat="1">
      <c r="C273" s="13"/>
      <c r="E273" s="185" t="s">
        <v>117</v>
      </c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7"/>
      <c r="T273" s="188">
        <v>8</v>
      </c>
      <c r="U273" s="189"/>
      <c r="V273" s="188">
        <v>8</v>
      </c>
      <c r="W273" s="189"/>
      <c r="AD273" s="10">
        <v>0</v>
      </c>
      <c r="AE273" s="10">
        <f t="shared" ref="AE273:AE285" si="23">T273*AD273/1000</f>
        <v>0</v>
      </c>
    </row>
    <row r="274" spans="3:31" s="1" customFormat="1">
      <c r="C274" s="13"/>
      <c r="E274" s="185" t="s">
        <v>38</v>
      </c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7"/>
      <c r="T274" s="188">
        <v>7</v>
      </c>
      <c r="U274" s="189"/>
      <c r="V274" s="188">
        <v>9</v>
      </c>
      <c r="W274" s="189"/>
      <c r="AD274" s="10">
        <v>75</v>
      </c>
      <c r="AE274" s="10">
        <f t="shared" si="23"/>
        <v>0.52500000000000002</v>
      </c>
    </row>
    <row r="275" spans="3:31" s="1" customFormat="1">
      <c r="C275" s="13"/>
      <c r="E275" s="185" t="s">
        <v>66</v>
      </c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7"/>
      <c r="T275" s="188">
        <v>28</v>
      </c>
      <c r="U275" s="189"/>
      <c r="V275" s="188">
        <v>29</v>
      </c>
      <c r="W275" s="189"/>
      <c r="AD275" s="10">
        <v>20</v>
      </c>
      <c r="AE275" s="10">
        <f t="shared" si="23"/>
        <v>0.56000000000000005</v>
      </c>
    </row>
    <row r="276" spans="3:31" s="1" customFormat="1">
      <c r="C276" s="13"/>
      <c r="E276" s="185" t="s">
        <v>32</v>
      </c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7"/>
      <c r="T276" s="285">
        <v>4</v>
      </c>
      <c r="U276" s="286"/>
      <c r="V276" s="188">
        <v>5</v>
      </c>
      <c r="W276" s="189"/>
      <c r="AD276" s="10">
        <v>140</v>
      </c>
      <c r="AE276" s="10">
        <f t="shared" si="23"/>
        <v>0.56000000000000005</v>
      </c>
    </row>
    <row r="277" spans="3:31" s="1" customFormat="1">
      <c r="C277" s="13"/>
      <c r="E277" s="185" t="s">
        <v>104</v>
      </c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7"/>
      <c r="T277" s="188">
        <v>5</v>
      </c>
      <c r="U277" s="189"/>
      <c r="V277" s="188">
        <v>6</v>
      </c>
      <c r="W277" s="189"/>
      <c r="AD277" s="10">
        <v>37</v>
      </c>
      <c r="AE277" s="10">
        <f t="shared" si="23"/>
        <v>0.185</v>
      </c>
    </row>
    <row r="278" spans="3:31" s="1" customFormat="1">
      <c r="C278" s="13"/>
      <c r="E278" s="272" t="s">
        <v>118</v>
      </c>
      <c r="F278" s="273"/>
      <c r="G278" s="273"/>
      <c r="H278" s="273"/>
      <c r="I278" s="273"/>
      <c r="J278" s="273"/>
      <c r="K278" s="273"/>
      <c r="L278" s="273"/>
      <c r="M278" s="273"/>
      <c r="N278" s="273"/>
      <c r="O278" s="273"/>
      <c r="P278" s="273"/>
      <c r="Q278" s="273"/>
      <c r="R278" s="273"/>
      <c r="S278" s="274"/>
      <c r="T278" s="188"/>
      <c r="U278" s="189"/>
      <c r="V278" s="188"/>
      <c r="W278" s="189"/>
      <c r="AD278" s="10"/>
      <c r="AE278" s="10">
        <f t="shared" si="23"/>
        <v>0</v>
      </c>
    </row>
    <row r="279" spans="3:31" s="1" customFormat="1">
      <c r="C279" s="13"/>
      <c r="E279" s="185" t="s">
        <v>54</v>
      </c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7"/>
      <c r="T279" s="188">
        <v>4.5</v>
      </c>
      <c r="U279" s="189"/>
      <c r="V279" s="188">
        <v>4.5</v>
      </c>
      <c r="W279" s="189"/>
      <c r="AD279" s="10">
        <v>173.6</v>
      </c>
      <c r="AE279" s="10">
        <f t="shared" si="23"/>
        <v>0.78119999999999989</v>
      </c>
    </row>
    <row r="280" spans="3:31" s="1" customFormat="1">
      <c r="C280" s="13"/>
      <c r="E280" s="185" t="s">
        <v>104</v>
      </c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7"/>
      <c r="T280" s="188">
        <v>1.3</v>
      </c>
      <c r="U280" s="189"/>
      <c r="V280" s="188">
        <v>1.3</v>
      </c>
      <c r="W280" s="189"/>
      <c r="AD280" s="10">
        <v>37</v>
      </c>
      <c r="AE280" s="10">
        <f t="shared" si="23"/>
        <v>4.8100000000000004E-2</v>
      </c>
    </row>
    <row r="281" spans="3:31" s="1" customFormat="1">
      <c r="C281" s="13"/>
      <c r="E281" s="185" t="s">
        <v>17</v>
      </c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7"/>
      <c r="T281" s="188">
        <v>13.5</v>
      </c>
      <c r="U281" s="189"/>
      <c r="V281" s="188">
        <v>13.5</v>
      </c>
      <c r="W281" s="189"/>
      <c r="AD281" s="10">
        <v>0</v>
      </c>
      <c r="AE281" s="10">
        <f t="shared" si="23"/>
        <v>0</v>
      </c>
    </row>
    <row r="282" spans="3:31" s="1" customFormat="1">
      <c r="C282" s="13"/>
      <c r="E282" s="185" t="s">
        <v>66</v>
      </c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7"/>
      <c r="T282" s="188">
        <v>5</v>
      </c>
      <c r="U282" s="189"/>
      <c r="V282" s="188">
        <v>4</v>
      </c>
      <c r="W282" s="189"/>
      <c r="AD282" s="10">
        <v>20</v>
      </c>
      <c r="AE282" s="10">
        <f t="shared" si="23"/>
        <v>0.1</v>
      </c>
    </row>
    <row r="283" spans="3:31" s="1" customFormat="1">
      <c r="C283" s="13"/>
      <c r="E283" s="185" t="s">
        <v>18</v>
      </c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7"/>
      <c r="T283" s="188">
        <v>0.4</v>
      </c>
      <c r="U283" s="189"/>
      <c r="V283" s="188">
        <v>0.4</v>
      </c>
      <c r="W283" s="189"/>
      <c r="AD283" s="10">
        <v>550</v>
      </c>
      <c r="AE283" s="10">
        <f t="shared" si="23"/>
        <v>0.22</v>
      </c>
    </row>
    <row r="284" spans="3:31" s="1" customFormat="1">
      <c r="C284" s="13"/>
      <c r="E284" s="183" t="s">
        <v>19</v>
      </c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4">
        <v>0.6</v>
      </c>
      <c r="U284" s="184"/>
      <c r="V284" s="184">
        <v>0.6</v>
      </c>
      <c r="W284" s="184"/>
      <c r="AD284" s="10">
        <v>17</v>
      </c>
      <c r="AE284" s="10">
        <f t="shared" si="23"/>
        <v>1.0199999999999999E-2</v>
      </c>
    </row>
    <row r="285" spans="3:31" s="1" customFormat="1">
      <c r="C285" s="13"/>
      <c r="E285" s="282" t="s">
        <v>119</v>
      </c>
      <c r="F285" s="283"/>
      <c r="G285" s="283"/>
      <c r="H285" s="283"/>
      <c r="I285" s="283"/>
      <c r="J285" s="283"/>
      <c r="K285" s="283"/>
      <c r="L285" s="283"/>
      <c r="M285" s="283"/>
      <c r="N285" s="283"/>
      <c r="O285" s="283"/>
      <c r="P285" s="283"/>
      <c r="Q285" s="283"/>
      <c r="R285" s="283"/>
      <c r="S285" s="284"/>
      <c r="T285" s="287">
        <v>2</v>
      </c>
      <c r="U285" s="288"/>
      <c r="V285" s="287">
        <v>2</v>
      </c>
      <c r="W285" s="288"/>
      <c r="AD285" s="10">
        <v>135</v>
      </c>
      <c r="AE285" s="10">
        <f t="shared" si="23"/>
        <v>0.27</v>
      </c>
    </row>
    <row r="286" spans="3:31" s="1" customFormat="1">
      <c r="C286" s="13"/>
      <c r="E286" s="190" t="s">
        <v>21</v>
      </c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1" t="s">
        <v>22</v>
      </c>
      <c r="U286" s="191"/>
      <c r="V286" s="191" t="s">
        <v>116</v>
      </c>
      <c r="W286" s="191"/>
      <c r="AD286" s="10"/>
      <c r="AE286" s="10"/>
    </row>
    <row r="288" spans="3:31" s="1" customFormat="1">
      <c r="C288" s="13" t="s">
        <v>68</v>
      </c>
      <c r="D288" s="1">
        <v>180</v>
      </c>
      <c r="T288" s="182" t="s">
        <v>11</v>
      </c>
      <c r="U288" s="182"/>
      <c r="V288" s="182" t="s">
        <v>12</v>
      </c>
      <c r="W288" s="182"/>
      <c r="AD288" s="10"/>
      <c r="AE288" s="39">
        <f>SUM(AE289:AE291)</f>
        <v>5.6151</v>
      </c>
    </row>
    <row r="289" spans="3:31" s="1" customFormat="1">
      <c r="C289" s="13"/>
      <c r="E289" s="256" t="s">
        <v>69</v>
      </c>
      <c r="F289" s="256"/>
      <c r="G289" s="256"/>
      <c r="H289" s="256"/>
      <c r="I289" s="256"/>
      <c r="J289" s="256"/>
      <c r="K289" s="256"/>
      <c r="L289" s="256"/>
      <c r="M289" s="256"/>
      <c r="N289" s="256"/>
      <c r="O289" s="256"/>
      <c r="P289" s="256"/>
      <c r="Q289" s="256"/>
      <c r="R289" s="256"/>
      <c r="S289" s="256"/>
      <c r="T289" s="257">
        <v>62</v>
      </c>
      <c r="U289" s="257"/>
      <c r="V289" s="257">
        <v>62</v>
      </c>
      <c r="W289" s="257"/>
      <c r="AD289" s="10">
        <v>55</v>
      </c>
      <c r="AE289" s="10">
        <f>T289*AD289/1000</f>
        <v>3.41</v>
      </c>
    </row>
    <row r="290" spans="3:31" s="1" customFormat="1">
      <c r="C290" s="13"/>
      <c r="E290" s="256" t="s">
        <v>19</v>
      </c>
      <c r="F290" s="256"/>
      <c r="G290" s="256"/>
      <c r="H290" s="256"/>
      <c r="I290" s="256"/>
      <c r="J290" s="256"/>
      <c r="K290" s="256"/>
      <c r="L290" s="256"/>
      <c r="M290" s="256"/>
      <c r="N290" s="256"/>
      <c r="O290" s="256"/>
      <c r="P290" s="256"/>
      <c r="Q290" s="256"/>
      <c r="R290" s="256"/>
      <c r="S290" s="256"/>
      <c r="T290" s="257">
        <v>0.3</v>
      </c>
      <c r="U290" s="257"/>
      <c r="V290" s="257">
        <v>0.3</v>
      </c>
      <c r="W290" s="257"/>
      <c r="AD290" s="10">
        <v>17</v>
      </c>
      <c r="AE290" s="10">
        <f t="shared" ref="AE290:AE291" si="24">T290*AD290/1000</f>
        <v>5.0999999999999995E-3</v>
      </c>
    </row>
    <row r="291" spans="3:31" s="1" customFormat="1">
      <c r="C291" s="13"/>
      <c r="E291" s="256" t="s">
        <v>18</v>
      </c>
      <c r="F291" s="256"/>
      <c r="G291" s="256"/>
      <c r="H291" s="256"/>
      <c r="I291" s="256"/>
      <c r="J291" s="256"/>
      <c r="K291" s="256"/>
      <c r="L291" s="256"/>
      <c r="M291" s="256"/>
      <c r="N291" s="256"/>
      <c r="O291" s="256"/>
      <c r="P291" s="256"/>
      <c r="Q291" s="256"/>
      <c r="R291" s="256"/>
      <c r="S291" s="256"/>
      <c r="T291" s="257">
        <v>4</v>
      </c>
      <c r="U291" s="257"/>
      <c r="V291" s="257">
        <v>4</v>
      </c>
      <c r="W291" s="257"/>
      <c r="AD291" s="10">
        <v>550</v>
      </c>
      <c r="AE291" s="10">
        <f t="shared" si="24"/>
        <v>2.2000000000000002</v>
      </c>
    </row>
    <row r="292" spans="3:31" s="1" customFormat="1">
      <c r="C292" s="13"/>
      <c r="E292" s="289" t="s">
        <v>21</v>
      </c>
      <c r="F292" s="289"/>
      <c r="G292" s="289"/>
      <c r="H292" s="289"/>
      <c r="I292" s="289"/>
      <c r="J292" s="289"/>
      <c r="K292" s="289"/>
      <c r="L292" s="289"/>
      <c r="M292" s="289"/>
      <c r="N292" s="289"/>
      <c r="O292" s="289"/>
      <c r="P292" s="289"/>
      <c r="Q292" s="289"/>
      <c r="R292" s="289"/>
      <c r="S292" s="289"/>
      <c r="T292" s="290" t="s">
        <v>22</v>
      </c>
      <c r="U292" s="290"/>
      <c r="V292" s="291">
        <v>180</v>
      </c>
      <c r="W292" s="291"/>
      <c r="AD292" s="10"/>
      <c r="AE292" s="10"/>
    </row>
    <row r="294" spans="3:31" s="1" customFormat="1">
      <c r="C294" s="13" t="s">
        <v>2</v>
      </c>
      <c r="D294" s="1">
        <v>100</v>
      </c>
      <c r="AD294" s="10">
        <v>62.4</v>
      </c>
      <c r="AE294" s="44">
        <f>AD294*D294/1000</f>
        <v>6.24</v>
      </c>
    </row>
    <row r="296" spans="3:31" s="1" customFormat="1">
      <c r="C296" s="13" t="s">
        <v>39</v>
      </c>
      <c r="D296" s="1">
        <v>200</v>
      </c>
      <c r="T296" s="182" t="s">
        <v>11</v>
      </c>
      <c r="U296" s="182"/>
      <c r="V296" s="182" t="s">
        <v>12</v>
      </c>
      <c r="W296" s="182"/>
      <c r="AD296" s="10"/>
      <c r="AE296" s="39">
        <f>SUM(AE297:AE300)</f>
        <v>7.1619999999999999</v>
      </c>
    </row>
    <row r="297" spans="3:31" s="1" customFormat="1">
      <c r="C297" s="13"/>
      <c r="E297" s="183" t="s">
        <v>40</v>
      </c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4">
        <v>4</v>
      </c>
      <c r="U297" s="184"/>
      <c r="V297" s="184">
        <v>4</v>
      </c>
      <c r="W297" s="184"/>
      <c r="AD297" s="10">
        <v>380</v>
      </c>
      <c r="AE297" s="10">
        <f>AD297*T297/1000</f>
        <v>1.52</v>
      </c>
    </row>
    <row r="298" spans="3:31" s="1" customFormat="1">
      <c r="C298" s="13"/>
      <c r="E298" s="185" t="s">
        <v>20</v>
      </c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7"/>
      <c r="T298" s="188">
        <v>15</v>
      </c>
      <c r="U298" s="189"/>
      <c r="V298" s="188">
        <v>15</v>
      </c>
      <c r="W298" s="189"/>
      <c r="AD298" s="10">
        <v>55</v>
      </c>
      <c r="AE298" s="10">
        <f t="shared" ref="AE298:AE300" si="25">AD298*T298/1000</f>
        <v>0.82499999999999996</v>
      </c>
    </row>
    <row r="299" spans="3:31" s="1" customFormat="1">
      <c r="C299" s="13"/>
      <c r="E299" s="185" t="s">
        <v>41</v>
      </c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7"/>
      <c r="T299" s="188">
        <v>100</v>
      </c>
      <c r="U299" s="189"/>
      <c r="V299" s="188">
        <v>100</v>
      </c>
      <c r="W299" s="189"/>
      <c r="AD299" s="10">
        <v>48.17</v>
      </c>
      <c r="AE299" s="10">
        <f t="shared" si="25"/>
        <v>4.8170000000000002</v>
      </c>
    </row>
    <row r="300" spans="3:31" s="1" customFormat="1">
      <c r="C300" s="13"/>
      <c r="E300" s="185" t="s">
        <v>17</v>
      </c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7"/>
      <c r="T300" s="188">
        <v>81</v>
      </c>
      <c r="U300" s="189"/>
      <c r="V300" s="188">
        <v>81</v>
      </c>
      <c r="W300" s="189"/>
      <c r="AD300" s="10">
        <v>0</v>
      </c>
      <c r="AE300" s="10">
        <f t="shared" si="25"/>
        <v>0</v>
      </c>
    </row>
    <row r="301" spans="3:31" s="1" customFormat="1">
      <c r="C301" s="13"/>
      <c r="E301" s="190" t="s">
        <v>21</v>
      </c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1" t="s">
        <v>22</v>
      </c>
      <c r="U301" s="191"/>
      <c r="V301" s="192">
        <v>200</v>
      </c>
      <c r="W301" s="192"/>
      <c r="AD301" s="10"/>
      <c r="AE301" s="10"/>
    </row>
    <row r="303" spans="3:31" s="1" customFormat="1">
      <c r="C303" s="13" t="s">
        <v>26</v>
      </c>
      <c r="D303" s="1">
        <v>40</v>
      </c>
      <c r="AD303" s="10">
        <v>45.54</v>
      </c>
      <c r="AE303" s="39">
        <f>D303*AD303/1000</f>
        <v>1.8215999999999999</v>
      </c>
    </row>
    <row r="305" spans="1:31">
      <c r="A305" s="13" t="s">
        <v>190</v>
      </c>
      <c r="B305" s="13">
        <f>AE305+AE310+AE312+AE321+AE323+AE328</f>
        <v>48.006750000000004</v>
      </c>
      <c r="C305" s="76" t="s">
        <v>74</v>
      </c>
      <c r="D305" s="30">
        <v>20</v>
      </c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195" t="s">
        <v>11</v>
      </c>
      <c r="U305" s="195"/>
      <c r="V305" s="195" t="s">
        <v>12</v>
      </c>
      <c r="W305" s="195"/>
      <c r="X305" s="30"/>
      <c r="Y305" s="30"/>
      <c r="Z305" s="30"/>
      <c r="AA305" s="30"/>
      <c r="AB305" s="30"/>
      <c r="AC305" s="30"/>
      <c r="AD305" s="31"/>
      <c r="AE305" s="81">
        <f>AE306</f>
        <v>5.25</v>
      </c>
    </row>
    <row r="306" spans="1:31">
      <c r="C306" s="76"/>
      <c r="D306" s="30"/>
      <c r="E306" s="196" t="s">
        <v>75</v>
      </c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6"/>
      <c r="R306" s="196"/>
      <c r="S306" s="196"/>
      <c r="T306" s="197">
        <f>21*V307/20</f>
        <v>21</v>
      </c>
      <c r="U306" s="197"/>
      <c r="V306" s="197">
        <f>T306</f>
        <v>21</v>
      </c>
      <c r="W306" s="197"/>
      <c r="X306" s="30"/>
      <c r="Y306" s="30"/>
      <c r="Z306" s="30"/>
      <c r="AA306" s="30"/>
      <c r="AB306" s="30"/>
      <c r="AC306" s="30"/>
      <c r="AD306" s="31">
        <v>250</v>
      </c>
      <c r="AE306" s="31">
        <f>T306*AD306/1000</f>
        <v>5.25</v>
      </c>
    </row>
    <row r="307" spans="1:31">
      <c r="C307" s="76"/>
      <c r="D307" s="30"/>
      <c r="E307" s="198" t="s">
        <v>21</v>
      </c>
      <c r="F307" s="198"/>
      <c r="G307" s="198"/>
      <c r="H307" s="198"/>
      <c r="I307" s="198"/>
      <c r="J307" s="198"/>
      <c r="K307" s="198"/>
      <c r="L307" s="198"/>
      <c r="M307" s="198"/>
      <c r="N307" s="198"/>
      <c r="O307" s="198"/>
      <c r="P307" s="198"/>
      <c r="Q307" s="198"/>
      <c r="R307" s="198"/>
      <c r="S307" s="198"/>
      <c r="T307" s="199" t="s">
        <v>22</v>
      </c>
      <c r="U307" s="199"/>
      <c r="V307" s="200">
        <v>20</v>
      </c>
      <c r="W307" s="200"/>
      <c r="X307" s="30"/>
      <c r="Y307" s="30"/>
      <c r="Z307" s="30"/>
      <c r="AA307" s="30"/>
      <c r="AB307" s="30"/>
      <c r="AC307" s="30"/>
      <c r="AD307" s="31"/>
      <c r="AE307" s="31"/>
    </row>
    <row r="308" spans="1:31">
      <c r="T308" s="201" t="s">
        <v>11</v>
      </c>
      <c r="U308" s="201"/>
      <c r="V308" s="201" t="s">
        <v>12</v>
      </c>
      <c r="W308" s="201"/>
    </row>
    <row r="310" spans="1:31">
      <c r="C310" s="13" t="s">
        <v>97</v>
      </c>
      <c r="D310" s="1">
        <v>15</v>
      </c>
      <c r="E310" s="183" t="s">
        <v>78</v>
      </c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4">
        <v>15.75</v>
      </c>
      <c r="U310" s="184"/>
      <c r="V310" s="184">
        <v>15</v>
      </c>
      <c r="W310" s="184"/>
      <c r="AD310" s="10">
        <v>430.2</v>
      </c>
      <c r="AE310" s="36">
        <f>T310*AD310/1000</f>
        <v>6.7756499999999997</v>
      </c>
    </row>
    <row r="312" spans="1:31">
      <c r="C312" s="13" t="s">
        <v>80</v>
      </c>
      <c r="D312" s="1">
        <v>250</v>
      </c>
      <c r="T312" s="182" t="s">
        <v>11</v>
      </c>
      <c r="U312" s="182"/>
      <c r="V312" s="182" t="s">
        <v>12</v>
      </c>
      <c r="W312" s="182"/>
      <c r="AE312" s="29">
        <f>SUM(AE313:AE318)</f>
        <v>26.450500000000002</v>
      </c>
    </row>
    <row r="313" spans="1:31">
      <c r="E313" s="256" t="s">
        <v>52</v>
      </c>
      <c r="F313" s="256"/>
      <c r="G313" s="256"/>
      <c r="H313" s="256"/>
      <c r="I313" s="256"/>
      <c r="J313" s="256"/>
      <c r="K313" s="256"/>
      <c r="L313" s="256"/>
      <c r="M313" s="256"/>
      <c r="N313" s="256"/>
      <c r="O313" s="256"/>
      <c r="P313" s="256"/>
      <c r="Q313" s="256"/>
      <c r="R313" s="256"/>
      <c r="S313" s="256"/>
      <c r="T313" s="257">
        <v>125</v>
      </c>
      <c r="U313" s="257"/>
      <c r="V313" s="257">
        <v>125</v>
      </c>
      <c r="W313" s="257"/>
      <c r="AD313" s="10">
        <v>140</v>
      </c>
      <c r="AE313" s="10">
        <f>T313*AD313/1000</f>
        <v>17.5</v>
      </c>
    </row>
    <row r="314" spans="1:31">
      <c r="E314" s="237" t="s">
        <v>16</v>
      </c>
      <c r="F314" s="238"/>
      <c r="G314" s="238"/>
      <c r="H314" s="238"/>
      <c r="I314" s="238"/>
      <c r="J314" s="238"/>
      <c r="K314" s="238"/>
      <c r="L314" s="238"/>
      <c r="M314" s="238"/>
      <c r="N314" s="238"/>
      <c r="O314" s="238"/>
      <c r="P314" s="238"/>
      <c r="Q314" s="238"/>
      <c r="R314" s="238"/>
      <c r="S314" s="239"/>
      <c r="T314" s="233">
        <v>100</v>
      </c>
      <c r="U314" s="234"/>
      <c r="V314" s="257">
        <v>100</v>
      </c>
      <c r="W314" s="257"/>
      <c r="AD314" s="10">
        <v>48.17</v>
      </c>
      <c r="AE314" s="10">
        <f t="shared" ref="AE314:AE318" si="26">T314*AD314/1000</f>
        <v>4.8170000000000002</v>
      </c>
    </row>
    <row r="315" spans="1:31">
      <c r="E315" s="237" t="s">
        <v>18</v>
      </c>
      <c r="F315" s="238"/>
      <c r="G315" s="238"/>
      <c r="H315" s="238"/>
      <c r="I315" s="238"/>
      <c r="J315" s="238"/>
      <c r="K315" s="238"/>
      <c r="L315" s="238"/>
      <c r="M315" s="238"/>
      <c r="N315" s="238"/>
      <c r="O315" s="238"/>
      <c r="P315" s="238"/>
      <c r="Q315" s="238"/>
      <c r="R315" s="238"/>
      <c r="S315" s="239"/>
      <c r="T315" s="233">
        <v>3.75</v>
      </c>
      <c r="U315" s="234"/>
      <c r="V315" s="257">
        <v>3.75</v>
      </c>
      <c r="W315" s="257"/>
      <c r="AD315" s="10">
        <v>550</v>
      </c>
      <c r="AE315" s="10">
        <f t="shared" si="26"/>
        <v>2.0625</v>
      </c>
    </row>
    <row r="316" spans="1:31">
      <c r="E316" s="237" t="s">
        <v>17</v>
      </c>
      <c r="F316" s="238"/>
      <c r="G316" s="238"/>
      <c r="H316" s="238"/>
      <c r="I316" s="238"/>
      <c r="J316" s="238"/>
      <c r="K316" s="238"/>
      <c r="L316" s="238"/>
      <c r="M316" s="238"/>
      <c r="N316" s="238"/>
      <c r="O316" s="238"/>
      <c r="P316" s="238"/>
      <c r="Q316" s="238"/>
      <c r="R316" s="238"/>
      <c r="S316" s="239"/>
      <c r="T316" s="233">
        <v>56.25</v>
      </c>
      <c r="U316" s="234"/>
      <c r="V316" s="257">
        <v>56.25</v>
      </c>
      <c r="W316" s="257"/>
      <c r="AE316" s="10">
        <f t="shared" si="26"/>
        <v>0</v>
      </c>
    </row>
    <row r="317" spans="1:31">
      <c r="E317" s="237" t="s">
        <v>18</v>
      </c>
      <c r="F317" s="238"/>
      <c r="G317" s="238"/>
      <c r="H317" s="238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9"/>
      <c r="T317" s="235">
        <v>3.75</v>
      </c>
      <c r="U317" s="236"/>
      <c r="V317" s="257">
        <v>3.75</v>
      </c>
      <c r="W317" s="257"/>
      <c r="AD317" s="10">
        <v>550</v>
      </c>
      <c r="AE317" s="10">
        <f t="shared" si="26"/>
        <v>2.0625</v>
      </c>
    </row>
    <row r="318" spans="1:31">
      <c r="E318" s="256" t="s">
        <v>19</v>
      </c>
      <c r="F318" s="256"/>
      <c r="G318" s="256"/>
      <c r="H318" s="256"/>
      <c r="I318" s="256"/>
      <c r="J318" s="256"/>
      <c r="K318" s="256"/>
      <c r="L318" s="256"/>
      <c r="M318" s="256"/>
      <c r="N318" s="256"/>
      <c r="O318" s="256"/>
      <c r="P318" s="256"/>
      <c r="Q318" s="256"/>
      <c r="R318" s="256"/>
      <c r="S318" s="256"/>
      <c r="T318" s="257">
        <v>0.5</v>
      </c>
      <c r="U318" s="257"/>
      <c r="V318" s="257">
        <v>0.5</v>
      </c>
      <c r="W318" s="257"/>
      <c r="AD318" s="10">
        <v>17</v>
      </c>
      <c r="AE318" s="10">
        <f t="shared" si="26"/>
        <v>8.5000000000000006E-3</v>
      </c>
    </row>
    <row r="319" spans="1:31">
      <c r="E319" s="289" t="s">
        <v>21</v>
      </c>
      <c r="F319" s="289"/>
      <c r="G319" s="289"/>
      <c r="H319" s="289"/>
      <c r="I319" s="289"/>
      <c r="J319" s="289"/>
      <c r="K319" s="289"/>
      <c r="L319" s="289"/>
      <c r="M319" s="289"/>
      <c r="N319" s="289"/>
      <c r="O319" s="289"/>
      <c r="P319" s="289"/>
      <c r="Q319" s="289"/>
      <c r="R319" s="289"/>
      <c r="S319" s="289"/>
      <c r="T319" s="290" t="s">
        <v>22</v>
      </c>
      <c r="U319" s="290"/>
      <c r="V319" s="291">
        <v>250</v>
      </c>
      <c r="W319" s="291"/>
    </row>
    <row r="321" spans="3:31" s="1" customFormat="1">
      <c r="C321" s="13" t="s">
        <v>213</v>
      </c>
      <c r="E321" s="183" t="s">
        <v>2</v>
      </c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4">
        <v>100</v>
      </c>
      <c r="U321" s="184"/>
      <c r="V321" s="184">
        <v>100</v>
      </c>
      <c r="W321" s="184"/>
      <c r="AD321" s="10">
        <v>62.4</v>
      </c>
      <c r="AE321" s="36">
        <f>T321*AD321/1000</f>
        <v>6.24</v>
      </c>
    </row>
    <row r="323" spans="3:31" s="1" customFormat="1">
      <c r="C323" s="13" t="s">
        <v>57</v>
      </c>
      <c r="D323" s="1">
        <v>200</v>
      </c>
      <c r="T323" s="182" t="s">
        <v>11</v>
      </c>
      <c r="U323" s="182"/>
      <c r="V323" s="182" t="s">
        <v>12</v>
      </c>
      <c r="W323" s="182"/>
      <c r="AD323" s="10"/>
      <c r="AE323" s="29">
        <f>AE324+AE325</f>
        <v>1.125</v>
      </c>
    </row>
    <row r="324" spans="3:31" s="1" customFormat="1">
      <c r="C324" s="13"/>
      <c r="E324" s="183" t="s">
        <v>58</v>
      </c>
      <c r="F324" s="183"/>
      <c r="G324" s="183"/>
      <c r="H324" s="183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4">
        <v>0.6</v>
      </c>
      <c r="U324" s="184"/>
      <c r="V324" s="184">
        <v>0.6</v>
      </c>
      <c r="W324" s="184"/>
      <c r="AD324" s="10">
        <v>500</v>
      </c>
      <c r="AE324" s="10">
        <f>AD324*T324/1000</f>
        <v>0.3</v>
      </c>
    </row>
    <row r="325" spans="3:31" s="1" customFormat="1">
      <c r="C325" s="13"/>
      <c r="E325" s="185" t="s">
        <v>20</v>
      </c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7"/>
      <c r="T325" s="188">
        <v>15</v>
      </c>
      <c r="U325" s="189"/>
      <c r="V325" s="188">
        <v>15</v>
      </c>
      <c r="W325" s="189"/>
      <c r="AD325" s="10">
        <v>55</v>
      </c>
      <c r="AE325" s="10">
        <f>AD325*T325/1000</f>
        <v>0.82499999999999996</v>
      </c>
    </row>
    <row r="326" spans="3:31" s="1" customFormat="1">
      <c r="C326" s="13"/>
      <c r="E326" s="190" t="s">
        <v>21</v>
      </c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1" t="s">
        <v>22</v>
      </c>
      <c r="U326" s="191"/>
      <c r="V326" s="192">
        <v>200</v>
      </c>
      <c r="W326" s="192"/>
      <c r="AD326" s="10"/>
      <c r="AE326" s="10"/>
    </row>
    <row r="328" spans="3:31" s="1" customFormat="1">
      <c r="C328" s="13" t="s">
        <v>59</v>
      </c>
      <c r="D328" s="1">
        <v>40</v>
      </c>
      <c r="AD328" s="10">
        <v>54.14</v>
      </c>
      <c r="AE328" s="29">
        <f>D328*AD328/1000</f>
        <v>2.1656</v>
      </c>
    </row>
  </sheetData>
  <mergeCells count="699">
    <mergeCell ref="E5:S7"/>
    <mergeCell ref="T5:AC5"/>
    <mergeCell ref="T6:W6"/>
    <mergeCell ref="X6:AC6"/>
    <mergeCell ref="T7:U7"/>
    <mergeCell ref="V7:W7"/>
    <mergeCell ref="X7:AA7"/>
    <mergeCell ref="AB7:AC7"/>
    <mergeCell ref="X10:AA10"/>
    <mergeCell ref="AB10:AC10"/>
    <mergeCell ref="X11:AA11"/>
    <mergeCell ref="AB11:AC11"/>
    <mergeCell ref="X8:AA8"/>
    <mergeCell ref="AB8:AC8"/>
    <mergeCell ref="X9:AA9"/>
    <mergeCell ref="AB9:AC9"/>
    <mergeCell ref="E8:S8"/>
    <mergeCell ref="T8:U8"/>
    <mergeCell ref="V8:W8"/>
    <mergeCell ref="E9:S9"/>
    <mergeCell ref="T9:U9"/>
    <mergeCell ref="V9:W9"/>
    <mergeCell ref="X14:AA14"/>
    <mergeCell ref="AB14:AC14"/>
    <mergeCell ref="X15:AA15"/>
    <mergeCell ref="AB15:AC15"/>
    <mergeCell ref="V14:W14"/>
    <mergeCell ref="X12:AA12"/>
    <mergeCell ref="AB12:AC12"/>
    <mergeCell ref="X13:AA13"/>
    <mergeCell ref="AB13:AC13"/>
    <mergeCell ref="V12:W12"/>
    <mergeCell ref="E17:H19"/>
    <mergeCell ref="I17:L19"/>
    <mergeCell ref="M17:P19"/>
    <mergeCell ref="T17:AA17"/>
    <mergeCell ref="T18:W18"/>
    <mergeCell ref="X18:AA18"/>
    <mergeCell ref="T19:U19"/>
    <mergeCell ref="V19:W19"/>
    <mergeCell ref="X19:Y19"/>
    <mergeCell ref="Z19:AA19"/>
    <mergeCell ref="Z20:AA20"/>
    <mergeCell ref="E21:H21"/>
    <mergeCell ref="I21:L21"/>
    <mergeCell ref="M21:P21"/>
    <mergeCell ref="T21:U21"/>
    <mergeCell ref="V21:W21"/>
    <mergeCell ref="X21:Y21"/>
    <mergeCell ref="Z21:AA21"/>
    <mergeCell ref="E20:H20"/>
    <mergeCell ref="I20:L20"/>
    <mergeCell ref="M20:P20"/>
    <mergeCell ref="T20:U20"/>
    <mergeCell ref="V20:W20"/>
    <mergeCell ref="X20:Y20"/>
    <mergeCell ref="Z22:AA22"/>
    <mergeCell ref="E23:H23"/>
    <mergeCell ref="I23:L23"/>
    <mergeCell ref="M23:P23"/>
    <mergeCell ref="T23:U23"/>
    <mergeCell ref="V23:W23"/>
    <mergeCell ref="X23:Y23"/>
    <mergeCell ref="Z23:AA23"/>
    <mergeCell ref="E22:H22"/>
    <mergeCell ref="I22:L22"/>
    <mergeCell ref="M22:P22"/>
    <mergeCell ref="T22:U22"/>
    <mergeCell ref="V22:W22"/>
    <mergeCell ref="X22:Y22"/>
    <mergeCell ref="Z24:AA24"/>
    <mergeCell ref="E29:S29"/>
    <mergeCell ref="T29:U29"/>
    <mergeCell ref="E30:S30"/>
    <mergeCell ref="T30:U30"/>
    <mergeCell ref="E31:S31"/>
    <mergeCell ref="T31:U31"/>
    <mergeCell ref="E24:H24"/>
    <mergeCell ref="I24:L24"/>
    <mergeCell ref="M24:P24"/>
    <mergeCell ref="T24:U24"/>
    <mergeCell ref="V24:W24"/>
    <mergeCell ref="X24:Y24"/>
    <mergeCell ref="V41:W41"/>
    <mergeCell ref="V42:W42"/>
    <mergeCell ref="E41:S41"/>
    <mergeCell ref="E42:S42"/>
    <mergeCell ref="T41:U41"/>
    <mergeCell ref="T42:U42"/>
    <mergeCell ref="E32:S32"/>
    <mergeCell ref="T32:U32"/>
    <mergeCell ref="T38:W38"/>
    <mergeCell ref="T39:U39"/>
    <mergeCell ref="V39:W39"/>
    <mergeCell ref="E40:S40"/>
    <mergeCell ref="T40:U40"/>
    <mergeCell ref="V40:W40"/>
    <mergeCell ref="E45:S45"/>
    <mergeCell ref="T45:U45"/>
    <mergeCell ref="V45:W45"/>
    <mergeCell ref="E46:S46"/>
    <mergeCell ref="T46:U46"/>
    <mergeCell ref="V46:W46"/>
    <mergeCell ref="T44:U44"/>
    <mergeCell ref="V43:W43"/>
    <mergeCell ref="E43:S43"/>
    <mergeCell ref="E44:S44"/>
    <mergeCell ref="T43:U43"/>
    <mergeCell ref="V44:W44"/>
    <mergeCell ref="E51:S51"/>
    <mergeCell ref="T51:U51"/>
    <mergeCell ref="V51:W51"/>
    <mergeCell ref="T48:U48"/>
    <mergeCell ref="V48:W48"/>
    <mergeCell ref="E50:S50"/>
    <mergeCell ref="T50:U50"/>
    <mergeCell ref="V50:W50"/>
    <mergeCell ref="E49:S49"/>
    <mergeCell ref="T49:U49"/>
    <mergeCell ref="V49:W49"/>
    <mergeCell ref="T54:U54"/>
    <mergeCell ref="V54:W54"/>
    <mergeCell ref="E55:S55"/>
    <mergeCell ref="T55:U55"/>
    <mergeCell ref="V55:W55"/>
    <mergeCell ref="E56:S56"/>
    <mergeCell ref="T56:U56"/>
    <mergeCell ref="V56:W56"/>
    <mergeCell ref="E52:S52"/>
    <mergeCell ref="T52:U52"/>
    <mergeCell ref="V52:W52"/>
    <mergeCell ref="E59:S59"/>
    <mergeCell ref="T59:U59"/>
    <mergeCell ref="V59:W59"/>
    <mergeCell ref="T64:U64"/>
    <mergeCell ref="V64:W64"/>
    <mergeCell ref="E65:S65"/>
    <mergeCell ref="T65:U65"/>
    <mergeCell ref="V65:W65"/>
    <mergeCell ref="E57:S57"/>
    <mergeCell ref="T57:U57"/>
    <mergeCell ref="V57:W57"/>
    <mergeCell ref="E58:S58"/>
    <mergeCell ref="T58:U58"/>
    <mergeCell ref="V58:W58"/>
    <mergeCell ref="T70:U70"/>
    <mergeCell ref="V70:W70"/>
    <mergeCell ref="E71:S71"/>
    <mergeCell ref="T71:U71"/>
    <mergeCell ref="V71:W71"/>
    <mergeCell ref="E68:S68"/>
    <mergeCell ref="T68:U68"/>
    <mergeCell ref="V68:W68"/>
    <mergeCell ref="E66:S66"/>
    <mergeCell ref="T66:U66"/>
    <mergeCell ref="V66:W66"/>
    <mergeCell ref="E67:S67"/>
    <mergeCell ref="T67:U67"/>
    <mergeCell ref="V67:W67"/>
    <mergeCell ref="V76:W76"/>
    <mergeCell ref="V77:W77"/>
    <mergeCell ref="T76:U76"/>
    <mergeCell ref="T77:U77"/>
    <mergeCell ref="E76:S76"/>
    <mergeCell ref="E77:S77"/>
    <mergeCell ref="T72:U72"/>
    <mergeCell ref="V72:W72"/>
    <mergeCell ref="T74:U74"/>
    <mergeCell ref="V74:W74"/>
    <mergeCell ref="T75:U75"/>
    <mergeCell ref="V75:W75"/>
    <mergeCell ref="E75:S75"/>
    <mergeCell ref="E80:S80"/>
    <mergeCell ref="E81:S81"/>
    <mergeCell ref="T80:U80"/>
    <mergeCell ref="T81:U81"/>
    <mergeCell ref="V80:W80"/>
    <mergeCell ref="V81:W81"/>
    <mergeCell ref="V78:W78"/>
    <mergeCell ref="E78:S78"/>
    <mergeCell ref="E79:S79"/>
    <mergeCell ref="T78:U78"/>
    <mergeCell ref="T79:U79"/>
    <mergeCell ref="V79:W79"/>
    <mergeCell ref="E84:S84"/>
    <mergeCell ref="T84:U84"/>
    <mergeCell ref="V84:W84"/>
    <mergeCell ref="E82:S82"/>
    <mergeCell ref="E83:S83"/>
    <mergeCell ref="T82:U82"/>
    <mergeCell ref="V82:W82"/>
    <mergeCell ref="T83:U83"/>
    <mergeCell ref="V83:W83"/>
    <mergeCell ref="T88:U88"/>
    <mergeCell ref="V88:W88"/>
    <mergeCell ref="E89:S89"/>
    <mergeCell ref="T89:U89"/>
    <mergeCell ref="V89:W89"/>
    <mergeCell ref="E86:S86"/>
    <mergeCell ref="T86:U86"/>
    <mergeCell ref="V86:W86"/>
    <mergeCell ref="E85:S85"/>
    <mergeCell ref="T85:U85"/>
    <mergeCell ref="V85:W85"/>
    <mergeCell ref="T98:U98"/>
    <mergeCell ref="V98:W98"/>
    <mergeCell ref="E99:S99"/>
    <mergeCell ref="T99:U99"/>
    <mergeCell ref="V99:W99"/>
    <mergeCell ref="E100:S100"/>
    <mergeCell ref="V100:W100"/>
    <mergeCell ref="T100:U100"/>
    <mergeCell ref="E90:S90"/>
    <mergeCell ref="T90:U90"/>
    <mergeCell ref="V90:W90"/>
    <mergeCell ref="E91:S91"/>
    <mergeCell ref="T91:U91"/>
    <mergeCell ref="V91:W91"/>
    <mergeCell ref="E104:S104"/>
    <mergeCell ref="E103:S103"/>
    <mergeCell ref="V104:W104"/>
    <mergeCell ref="T104:U104"/>
    <mergeCell ref="T103:U103"/>
    <mergeCell ref="V103:W103"/>
    <mergeCell ref="E101:S101"/>
    <mergeCell ref="E102:S102"/>
    <mergeCell ref="V101:W101"/>
    <mergeCell ref="V102:W102"/>
    <mergeCell ref="T101:U101"/>
    <mergeCell ref="T102:U102"/>
    <mergeCell ref="T109:U109"/>
    <mergeCell ref="V109:W109"/>
    <mergeCell ref="E107:S107"/>
    <mergeCell ref="T107:U107"/>
    <mergeCell ref="V107:W107"/>
    <mergeCell ref="E110:S110"/>
    <mergeCell ref="T110:U110"/>
    <mergeCell ref="V110:W110"/>
    <mergeCell ref="E105:S105"/>
    <mergeCell ref="T105:U105"/>
    <mergeCell ref="V105:W105"/>
    <mergeCell ref="E106:S106"/>
    <mergeCell ref="T106:U106"/>
    <mergeCell ref="V106:W106"/>
    <mergeCell ref="E113:S113"/>
    <mergeCell ref="T113:U113"/>
    <mergeCell ref="V113:W113"/>
    <mergeCell ref="E111:S111"/>
    <mergeCell ref="T111:U111"/>
    <mergeCell ref="V111:W111"/>
    <mergeCell ref="E112:S112"/>
    <mergeCell ref="T112:U112"/>
    <mergeCell ref="V112:W112"/>
    <mergeCell ref="E117:S117"/>
    <mergeCell ref="T117:U117"/>
    <mergeCell ref="V117:W117"/>
    <mergeCell ref="E118:S118"/>
    <mergeCell ref="T118:U118"/>
    <mergeCell ref="V118:W118"/>
    <mergeCell ref="T115:U115"/>
    <mergeCell ref="V115:W115"/>
    <mergeCell ref="E116:S116"/>
    <mergeCell ref="T116:U116"/>
    <mergeCell ref="V116:W116"/>
    <mergeCell ref="E125:S125"/>
    <mergeCell ref="T125:U125"/>
    <mergeCell ref="V125:W125"/>
    <mergeCell ref="T126:U126"/>
    <mergeCell ref="V126:W126"/>
    <mergeCell ref="E127:S127"/>
    <mergeCell ref="T127:U127"/>
    <mergeCell ref="V127:W127"/>
    <mergeCell ref="E119:S119"/>
    <mergeCell ref="T119:U119"/>
    <mergeCell ref="V119:W119"/>
    <mergeCell ref="T123:U123"/>
    <mergeCell ref="V123:W123"/>
    <mergeCell ref="E124:S124"/>
    <mergeCell ref="T124:U124"/>
    <mergeCell ref="V124:W124"/>
    <mergeCell ref="E132:S132"/>
    <mergeCell ref="T132:U132"/>
    <mergeCell ref="V132:W132"/>
    <mergeCell ref="T128:U128"/>
    <mergeCell ref="V128:W128"/>
    <mergeCell ref="E129:S129"/>
    <mergeCell ref="T129:U129"/>
    <mergeCell ref="V129:W129"/>
    <mergeCell ref="T131:U131"/>
    <mergeCell ref="V131:W131"/>
    <mergeCell ref="V134:W134"/>
    <mergeCell ref="V135:W135"/>
    <mergeCell ref="E134:S134"/>
    <mergeCell ref="E135:S135"/>
    <mergeCell ref="T134:U134"/>
    <mergeCell ref="T135:U135"/>
    <mergeCell ref="V133:W133"/>
    <mergeCell ref="E133:S133"/>
    <mergeCell ref="T133:U133"/>
    <mergeCell ref="T139:U139"/>
    <mergeCell ref="V139:W139"/>
    <mergeCell ref="E140:S140"/>
    <mergeCell ref="T140:U140"/>
    <mergeCell ref="V140:W140"/>
    <mergeCell ref="E138:S138"/>
    <mergeCell ref="T138:U138"/>
    <mergeCell ref="V138:W138"/>
    <mergeCell ref="T136:U136"/>
    <mergeCell ref="E136:S136"/>
    <mergeCell ref="V136:W136"/>
    <mergeCell ref="E137:S137"/>
    <mergeCell ref="T137:U137"/>
    <mergeCell ref="V137:W137"/>
    <mergeCell ref="E147:S147"/>
    <mergeCell ref="T147:U147"/>
    <mergeCell ref="V147:W147"/>
    <mergeCell ref="E151:S151"/>
    <mergeCell ref="T151:U151"/>
    <mergeCell ref="V151:W151"/>
    <mergeCell ref="T144:U144"/>
    <mergeCell ref="V144:W144"/>
    <mergeCell ref="E145:S145"/>
    <mergeCell ref="T145:U145"/>
    <mergeCell ref="V145:W145"/>
    <mergeCell ref="E146:S146"/>
    <mergeCell ref="T146:U146"/>
    <mergeCell ref="V146:W146"/>
    <mergeCell ref="E156:S156"/>
    <mergeCell ref="T156:U156"/>
    <mergeCell ref="V156:W156"/>
    <mergeCell ref="E157:S157"/>
    <mergeCell ref="T157:U157"/>
    <mergeCell ref="V157:W157"/>
    <mergeCell ref="T153:U153"/>
    <mergeCell ref="V153:W153"/>
    <mergeCell ref="E154:S154"/>
    <mergeCell ref="T154:U154"/>
    <mergeCell ref="V154:W154"/>
    <mergeCell ref="E155:S155"/>
    <mergeCell ref="T155:U155"/>
    <mergeCell ref="V155:W155"/>
    <mergeCell ref="E160:S160"/>
    <mergeCell ref="T160:U160"/>
    <mergeCell ref="V160:W160"/>
    <mergeCell ref="E161:S161"/>
    <mergeCell ref="T161:U161"/>
    <mergeCell ref="V161:W161"/>
    <mergeCell ref="E158:S158"/>
    <mergeCell ref="T158:U158"/>
    <mergeCell ref="V158:W158"/>
    <mergeCell ref="E159:S159"/>
    <mergeCell ref="T159:U159"/>
    <mergeCell ref="V159:W159"/>
    <mergeCell ref="T165:U165"/>
    <mergeCell ref="V165:W165"/>
    <mergeCell ref="E166:S166"/>
    <mergeCell ref="T166:U166"/>
    <mergeCell ref="V166:W166"/>
    <mergeCell ref="E167:S167"/>
    <mergeCell ref="T167:U167"/>
    <mergeCell ref="V167:W167"/>
    <mergeCell ref="E162:S162"/>
    <mergeCell ref="T162:U162"/>
    <mergeCell ref="V162:W162"/>
    <mergeCell ref="E163:S163"/>
    <mergeCell ref="T163:U163"/>
    <mergeCell ref="V163:W163"/>
    <mergeCell ref="E170:S170"/>
    <mergeCell ref="T170:U170"/>
    <mergeCell ref="V170:W170"/>
    <mergeCell ref="E172:S172"/>
    <mergeCell ref="T172:U172"/>
    <mergeCell ref="V172:W172"/>
    <mergeCell ref="E168:S168"/>
    <mergeCell ref="T168:U168"/>
    <mergeCell ref="V168:W168"/>
    <mergeCell ref="E169:S169"/>
    <mergeCell ref="T169:U169"/>
    <mergeCell ref="V169:W169"/>
    <mergeCell ref="T181:U181"/>
    <mergeCell ref="V181:W181"/>
    <mergeCell ref="E182:S182"/>
    <mergeCell ref="T182:U182"/>
    <mergeCell ref="V182:W182"/>
    <mergeCell ref="E183:S183"/>
    <mergeCell ref="T183:U183"/>
    <mergeCell ref="V183:W183"/>
    <mergeCell ref="E177:S177"/>
    <mergeCell ref="T177:U177"/>
    <mergeCell ref="V177:W177"/>
    <mergeCell ref="E179:S179"/>
    <mergeCell ref="T179:U179"/>
    <mergeCell ref="V179:W179"/>
    <mergeCell ref="E186:S186"/>
    <mergeCell ref="T186:U186"/>
    <mergeCell ref="V186:W186"/>
    <mergeCell ref="E187:S187"/>
    <mergeCell ref="T187:U187"/>
    <mergeCell ref="V187:W187"/>
    <mergeCell ref="E184:S184"/>
    <mergeCell ref="T184:U184"/>
    <mergeCell ref="V184:W184"/>
    <mergeCell ref="E185:S185"/>
    <mergeCell ref="T185:U185"/>
    <mergeCell ref="V185:W185"/>
    <mergeCell ref="E192:S192"/>
    <mergeCell ref="T192:U192"/>
    <mergeCell ref="V192:W192"/>
    <mergeCell ref="E193:S193"/>
    <mergeCell ref="T193:U193"/>
    <mergeCell ref="V193:W193"/>
    <mergeCell ref="T189:U189"/>
    <mergeCell ref="V189:W189"/>
    <mergeCell ref="E190:S190"/>
    <mergeCell ref="T190:U190"/>
    <mergeCell ref="V190:W190"/>
    <mergeCell ref="E191:S191"/>
    <mergeCell ref="T191:U191"/>
    <mergeCell ref="V191:W191"/>
    <mergeCell ref="E202:S202"/>
    <mergeCell ref="T202:U202"/>
    <mergeCell ref="E203:S203"/>
    <mergeCell ref="T203:U203"/>
    <mergeCell ref="E207:S207"/>
    <mergeCell ref="T207:U207"/>
    <mergeCell ref="E194:S194"/>
    <mergeCell ref="T194:U194"/>
    <mergeCell ref="V194:W194"/>
    <mergeCell ref="E200:S200"/>
    <mergeCell ref="T200:U200"/>
    <mergeCell ref="E201:S201"/>
    <mergeCell ref="T201:U201"/>
    <mergeCell ref="V212:W212"/>
    <mergeCell ref="V213:W213"/>
    <mergeCell ref="T212:U212"/>
    <mergeCell ref="T213:U213"/>
    <mergeCell ref="E212:S212"/>
    <mergeCell ref="E213:S213"/>
    <mergeCell ref="T209:U209"/>
    <mergeCell ref="V209:W209"/>
    <mergeCell ref="V211:W211"/>
    <mergeCell ref="T211:U211"/>
    <mergeCell ref="E211:S211"/>
    <mergeCell ref="E210:S210"/>
    <mergeCell ref="T210:U210"/>
    <mergeCell ref="V210:W210"/>
    <mergeCell ref="V216:W216"/>
    <mergeCell ref="V217:W217"/>
    <mergeCell ref="T216:U216"/>
    <mergeCell ref="T217:U217"/>
    <mergeCell ref="E216:S216"/>
    <mergeCell ref="E217:S217"/>
    <mergeCell ref="T214:U214"/>
    <mergeCell ref="V214:W214"/>
    <mergeCell ref="V215:W215"/>
    <mergeCell ref="T215:U215"/>
    <mergeCell ref="E215:S215"/>
    <mergeCell ref="E214:S214"/>
    <mergeCell ref="E220:S220"/>
    <mergeCell ref="T220:U220"/>
    <mergeCell ref="V220:W220"/>
    <mergeCell ref="E221:S221"/>
    <mergeCell ref="T221:U221"/>
    <mergeCell ref="V221:W221"/>
    <mergeCell ref="V218:W218"/>
    <mergeCell ref="V219:W219"/>
    <mergeCell ref="E218:S218"/>
    <mergeCell ref="E219:S219"/>
    <mergeCell ref="T218:U218"/>
    <mergeCell ref="T219:U219"/>
    <mergeCell ref="E226:S226"/>
    <mergeCell ref="T226:U226"/>
    <mergeCell ref="V226:W226"/>
    <mergeCell ref="E227:S227"/>
    <mergeCell ref="T227:U227"/>
    <mergeCell ref="V227:W227"/>
    <mergeCell ref="T223:U223"/>
    <mergeCell ref="V223:W223"/>
    <mergeCell ref="E224:S224"/>
    <mergeCell ref="T224:U224"/>
    <mergeCell ref="V224:W224"/>
    <mergeCell ref="V225:W225"/>
    <mergeCell ref="T225:U225"/>
    <mergeCell ref="E225:S225"/>
    <mergeCell ref="T231:U231"/>
    <mergeCell ref="V231:W231"/>
    <mergeCell ref="E232:S232"/>
    <mergeCell ref="T232:U232"/>
    <mergeCell ref="V232:W232"/>
    <mergeCell ref="E233:S233"/>
    <mergeCell ref="T233:U233"/>
    <mergeCell ref="V233:W233"/>
    <mergeCell ref="E228:S228"/>
    <mergeCell ref="T228:U228"/>
    <mergeCell ref="V228:W228"/>
    <mergeCell ref="E229:S229"/>
    <mergeCell ref="T229:U229"/>
    <mergeCell ref="V229:W229"/>
    <mergeCell ref="E246:S246"/>
    <mergeCell ref="T246:U246"/>
    <mergeCell ref="V246:W246"/>
    <mergeCell ref="T247:U247"/>
    <mergeCell ref="E247:S247"/>
    <mergeCell ref="V247:W247"/>
    <mergeCell ref="E234:S234"/>
    <mergeCell ref="T234:U234"/>
    <mergeCell ref="V234:W234"/>
    <mergeCell ref="E242:I242"/>
    <mergeCell ref="E243:I243"/>
    <mergeCell ref="T245:U245"/>
    <mergeCell ref="V245:W245"/>
    <mergeCell ref="E251:S251"/>
    <mergeCell ref="E250:S250"/>
    <mergeCell ref="T251:U251"/>
    <mergeCell ref="V251:W251"/>
    <mergeCell ref="V250:W250"/>
    <mergeCell ref="T250:U250"/>
    <mergeCell ref="T248:U248"/>
    <mergeCell ref="T249:U249"/>
    <mergeCell ref="E248:S248"/>
    <mergeCell ref="E249:S249"/>
    <mergeCell ref="V248:W248"/>
    <mergeCell ref="V249:W249"/>
    <mergeCell ref="E254:S254"/>
    <mergeCell ref="T254:U254"/>
    <mergeCell ref="V254:W254"/>
    <mergeCell ref="E252:S252"/>
    <mergeCell ref="E253:S253"/>
    <mergeCell ref="T252:U252"/>
    <mergeCell ref="T253:U253"/>
    <mergeCell ref="V252:W252"/>
    <mergeCell ref="V253:W253"/>
    <mergeCell ref="E257:S257"/>
    <mergeCell ref="T257:U257"/>
    <mergeCell ref="V257:W257"/>
    <mergeCell ref="T261:U261"/>
    <mergeCell ref="V261:W261"/>
    <mergeCell ref="E262:S262"/>
    <mergeCell ref="T262:U262"/>
    <mergeCell ref="V262:W262"/>
    <mergeCell ref="E255:S255"/>
    <mergeCell ref="T255:U255"/>
    <mergeCell ref="V255:W255"/>
    <mergeCell ref="E265:S265"/>
    <mergeCell ref="T265:U265"/>
    <mergeCell ref="V265:W265"/>
    <mergeCell ref="E266:S266"/>
    <mergeCell ref="T266:U266"/>
    <mergeCell ref="V266:W266"/>
    <mergeCell ref="E263:S263"/>
    <mergeCell ref="T263:U263"/>
    <mergeCell ref="V263:W263"/>
    <mergeCell ref="E264:S264"/>
    <mergeCell ref="T264:U264"/>
    <mergeCell ref="V264:W264"/>
    <mergeCell ref="E273:S273"/>
    <mergeCell ref="T273:U273"/>
    <mergeCell ref="V273:W273"/>
    <mergeCell ref="E274:S274"/>
    <mergeCell ref="T274:U274"/>
    <mergeCell ref="V274:W274"/>
    <mergeCell ref="E267:S267"/>
    <mergeCell ref="T267:U267"/>
    <mergeCell ref="V267:W267"/>
    <mergeCell ref="T271:U271"/>
    <mergeCell ref="V271:W271"/>
    <mergeCell ref="E272:S272"/>
    <mergeCell ref="T272:U272"/>
    <mergeCell ref="V272:W272"/>
    <mergeCell ref="E277:S277"/>
    <mergeCell ref="T277:U277"/>
    <mergeCell ref="V277:W277"/>
    <mergeCell ref="E278:S278"/>
    <mergeCell ref="T278:U278"/>
    <mergeCell ref="V278:W278"/>
    <mergeCell ref="E275:S275"/>
    <mergeCell ref="T275:U275"/>
    <mergeCell ref="V275:W275"/>
    <mergeCell ref="E276:S276"/>
    <mergeCell ref="T276:U276"/>
    <mergeCell ref="V276:W276"/>
    <mergeCell ref="E281:S281"/>
    <mergeCell ref="T281:U281"/>
    <mergeCell ref="V281:W281"/>
    <mergeCell ref="E282:S282"/>
    <mergeCell ref="T282:U282"/>
    <mergeCell ref="V282:W282"/>
    <mergeCell ref="E279:S279"/>
    <mergeCell ref="T279:U279"/>
    <mergeCell ref="V279:W279"/>
    <mergeCell ref="E280:S280"/>
    <mergeCell ref="T280:U280"/>
    <mergeCell ref="V280:W280"/>
    <mergeCell ref="E285:S285"/>
    <mergeCell ref="T285:U285"/>
    <mergeCell ref="V285:W285"/>
    <mergeCell ref="E286:S286"/>
    <mergeCell ref="T286:U286"/>
    <mergeCell ref="V286:W286"/>
    <mergeCell ref="E283:S283"/>
    <mergeCell ref="T283:U283"/>
    <mergeCell ref="V283:W283"/>
    <mergeCell ref="E284:S284"/>
    <mergeCell ref="T284:U284"/>
    <mergeCell ref="V284:W284"/>
    <mergeCell ref="E291:S291"/>
    <mergeCell ref="T291:U291"/>
    <mergeCell ref="V291:W291"/>
    <mergeCell ref="E292:S292"/>
    <mergeCell ref="T292:U292"/>
    <mergeCell ref="V292:W292"/>
    <mergeCell ref="T288:U288"/>
    <mergeCell ref="V288:W288"/>
    <mergeCell ref="E289:S289"/>
    <mergeCell ref="T289:U289"/>
    <mergeCell ref="V289:W289"/>
    <mergeCell ref="E290:S290"/>
    <mergeCell ref="T290:U290"/>
    <mergeCell ref="V290:W290"/>
    <mergeCell ref="E299:S299"/>
    <mergeCell ref="T299:U299"/>
    <mergeCell ref="V299:W299"/>
    <mergeCell ref="E300:S300"/>
    <mergeCell ref="T300:U300"/>
    <mergeCell ref="V300:W300"/>
    <mergeCell ref="T296:U296"/>
    <mergeCell ref="V296:W296"/>
    <mergeCell ref="E297:S297"/>
    <mergeCell ref="T297:U297"/>
    <mergeCell ref="V297:W297"/>
    <mergeCell ref="E298:S298"/>
    <mergeCell ref="T298:U298"/>
    <mergeCell ref="V298:W298"/>
    <mergeCell ref="E307:S307"/>
    <mergeCell ref="T307:U307"/>
    <mergeCell ref="V307:W307"/>
    <mergeCell ref="T308:U308"/>
    <mergeCell ref="V308:W308"/>
    <mergeCell ref="E310:S310"/>
    <mergeCell ref="T310:U310"/>
    <mergeCell ref="V310:W310"/>
    <mergeCell ref="E301:S301"/>
    <mergeCell ref="T301:U301"/>
    <mergeCell ref="V301:W301"/>
    <mergeCell ref="T305:U305"/>
    <mergeCell ref="V305:W305"/>
    <mergeCell ref="E306:S306"/>
    <mergeCell ref="T306:U306"/>
    <mergeCell ref="V306:W306"/>
    <mergeCell ref="E315:S315"/>
    <mergeCell ref="T315:U315"/>
    <mergeCell ref="V315:W315"/>
    <mergeCell ref="E316:S316"/>
    <mergeCell ref="T316:U316"/>
    <mergeCell ref="V316:W316"/>
    <mergeCell ref="T312:U312"/>
    <mergeCell ref="V312:W312"/>
    <mergeCell ref="E313:S313"/>
    <mergeCell ref="T313:U313"/>
    <mergeCell ref="V313:W313"/>
    <mergeCell ref="E314:S314"/>
    <mergeCell ref="T314:U314"/>
    <mergeCell ref="V314:W314"/>
    <mergeCell ref="E319:S319"/>
    <mergeCell ref="T319:U319"/>
    <mergeCell ref="V319:W319"/>
    <mergeCell ref="E321:S321"/>
    <mergeCell ref="T321:U321"/>
    <mergeCell ref="V321:W321"/>
    <mergeCell ref="E317:S317"/>
    <mergeCell ref="T317:U317"/>
    <mergeCell ref="V317:W317"/>
    <mergeCell ref="E318:S318"/>
    <mergeCell ref="T318:U318"/>
    <mergeCell ref="V318:W318"/>
    <mergeCell ref="E326:S326"/>
    <mergeCell ref="T326:U326"/>
    <mergeCell ref="V326:W326"/>
    <mergeCell ref="T10:U10"/>
    <mergeCell ref="V10:W10"/>
    <mergeCell ref="E15:S15"/>
    <mergeCell ref="T15:U15"/>
    <mergeCell ref="V15:W15"/>
    <mergeCell ref="E11:S11"/>
    <mergeCell ref="E12:S12"/>
    <mergeCell ref="E14:S14"/>
    <mergeCell ref="T11:U11"/>
    <mergeCell ref="T12:U12"/>
    <mergeCell ref="T14:U14"/>
    <mergeCell ref="V13:W13"/>
    <mergeCell ref="V11:W11"/>
    <mergeCell ref="T323:U323"/>
    <mergeCell ref="V323:W323"/>
    <mergeCell ref="E324:S324"/>
    <mergeCell ref="T324:U324"/>
    <mergeCell ref="V324:W324"/>
    <mergeCell ref="E325:S325"/>
    <mergeCell ref="T325:U325"/>
    <mergeCell ref="V325:W32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T365"/>
  <sheetViews>
    <sheetView topLeftCell="A338" zoomScale="80" zoomScaleNormal="80" workbookViewId="0">
      <selection activeCell="B1" sqref="B1:T365"/>
    </sheetView>
  </sheetViews>
  <sheetFormatPr defaultRowHeight="15"/>
  <cols>
    <col min="1" max="1" width="35.7109375" customWidth="1"/>
    <col min="2" max="2" width="9" style="160" customWidth="1"/>
    <col min="3" max="3" width="14" style="160" customWidth="1"/>
    <col min="4" max="4" width="17" style="160" customWidth="1"/>
    <col min="5" max="5" width="7" style="160" customWidth="1"/>
    <col min="6" max="6" width="8" style="160" customWidth="1"/>
    <col min="7" max="8" width="8.28515625" style="160" customWidth="1"/>
    <col min="9" max="9" width="7.85546875" style="160" customWidth="1"/>
    <col min="10" max="12" width="9.140625" style="160" customWidth="1"/>
    <col min="13" max="14" width="8.85546875" style="160" customWidth="1"/>
    <col min="15" max="16" width="7.7109375" style="160" customWidth="1"/>
    <col min="17" max="17" width="8.42578125" style="160" customWidth="1"/>
    <col min="18" max="18" width="9" style="160" customWidth="1"/>
    <col min="19" max="19" width="7.85546875" style="160" customWidth="1"/>
    <col min="20" max="20" width="8.5703125" style="160" customWidth="1"/>
  </cols>
  <sheetData>
    <row r="1" spans="2:20">
      <c r="B1" s="144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19" t="s">
        <v>229</v>
      </c>
      <c r="N1" s="319"/>
      <c r="O1" s="319"/>
      <c r="P1" s="319"/>
      <c r="Q1" s="319"/>
      <c r="R1" s="319"/>
      <c r="S1" s="319"/>
      <c r="T1" s="319"/>
    </row>
    <row r="2" spans="2:20">
      <c r="B2" s="317" t="s">
        <v>230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</row>
    <row r="3" spans="2:20">
      <c r="B3" s="317" t="s">
        <v>231</v>
      </c>
      <c r="C3" s="317"/>
      <c r="D3" s="146"/>
      <c r="E3" s="146"/>
      <c r="F3" s="146"/>
      <c r="G3" s="319" t="s">
        <v>232</v>
      </c>
      <c r="H3" s="319"/>
      <c r="I3" s="319"/>
      <c r="J3" s="146"/>
      <c r="K3" s="146"/>
      <c r="L3" s="317" t="s">
        <v>233</v>
      </c>
      <c r="M3" s="317"/>
      <c r="N3" s="319" t="s">
        <v>234</v>
      </c>
      <c r="O3" s="319"/>
      <c r="P3" s="319"/>
      <c r="Q3" s="319"/>
      <c r="R3" s="146"/>
      <c r="S3" s="146"/>
      <c r="T3" s="146"/>
    </row>
    <row r="4" spans="2:20">
      <c r="B4" s="319" t="s">
        <v>349</v>
      </c>
      <c r="C4" s="319"/>
      <c r="D4" s="319"/>
      <c r="E4" s="317" t="s">
        <v>235</v>
      </c>
      <c r="F4" s="317"/>
      <c r="G4" s="146">
        <v>1</v>
      </c>
      <c r="H4" s="146"/>
      <c r="I4" s="146"/>
      <c r="J4" s="146"/>
      <c r="K4" s="146"/>
      <c r="L4" s="317" t="s">
        <v>236</v>
      </c>
      <c r="M4" s="317"/>
      <c r="N4" s="319" t="s">
        <v>237</v>
      </c>
      <c r="O4" s="319"/>
      <c r="P4" s="319"/>
      <c r="Q4" s="319"/>
      <c r="R4" s="319"/>
      <c r="S4" s="319"/>
      <c r="T4" s="319"/>
    </row>
    <row r="5" spans="2:20">
      <c r="B5" s="321" t="s">
        <v>238</v>
      </c>
      <c r="C5" s="321" t="s">
        <v>239</v>
      </c>
      <c r="D5" s="321"/>
      <c r="E5" s="321" t="s">
        <v>240</v>
      </c>
      <c r="F5" s="321" t="s">
        <v>241</v>
      </c>
      <c r="G5" s="321"/>
      <c r="H5" s="321"/>
      <c r="I5" s="149" t="s">
        <v>242</v>
      </c>
      <c r="J5" s="321" t="s">
        <v>244</v>
      </c>
      <c r="K5" s="321"/>
      <c r="L5" s="321"/>
      <c r="M5" s="321"/>
      <c r="N5" s="321"/>
      <c r="O5" s="321" t="s">
        <v>245</v>
      </c>
      <c r="P5" s="321"/>
      <c r="Q5" s="321"/>
      <c r="R5" s="321"/>
      <c r="S5" s="321"/>
      <c r="T5" s="321"/>
    </row>
    <row r="6" spans="2:20" ht="30" customHeight="1">
      <c r="B6" s="321"/>
      <c r="C6" s="321"/>
      <c r="D6" s="321"/>
      <c r="E6" s="321"/>
      <c r="F6" s="149" t="s">
        <v>246</v>
      </c>
      <c r="G6" s="149" t="s">
        <v>247</v>
      </c>
      <c r="H6" s="149" t="s">
        <v>248</v>
      </c>
      <c r="I6" s="149" t="s">
        <v>243</v>
      </c>
      <c r="J6" s="149" t="s">
        <v>249</v>
      </c>
      <c r="K6" s="149" t="s">
        <v>250</v>
      </c>
      <c r="L6" s="149" t="s">
        <v>251</v>
      </c>
      <c r="M6" s="149" t="s">
        <v>252</v>
      </c>
      <c r="N6" s="149" t="s">
        <v>253</v>
      </c>
      <c r="O6" s="149" t="s">
        <v>254</v>
      </c>
      <c r="P6" s="149" t="s">
        <v>255</v>
      </c>
      <c r="Q6" s="149" t="s">
        <v>256</v>
      </c>
      <c r="R6" s="149" t="s">
        <v>257</v>
      </c>
      <c r="S6" s="149" t="s">
        <v>258</v>
      </c>
      <c r="T6" s="149" t="s">
        <v>259</v>
      </c>
    </row>
    <row r="7" spans="2:20">
      <c r="B7" s="150">
        <v>1</v>
      </c>
      <c r="C7" s="318">
        <v>2</v>
      </c>
      <c r="D7" s="318"/>
      <c r="E7" s="150">
        <v>3</v>
      </c>
      <c r="F7" s="150">
        <v>4</v>
      </c>
      <c r="G7" s="150">
        <v>5</v>
      </c>
      <c r="H7" s="150">
        <v>6</v>
      </c>
      <c r="I7" s="150">
        <v>7</v>
      </c>
      <c r="J7" s="150">
        <v>8</v>
      </c>
      <c r="K7" s="150">
        <v>9</v>
      </c>
      <c r="L7" s="150">
        <v>10</v>
      </c>
      <c r="M7" s="150">
        <v>11</v>
      </c>
      <c r="N7" s="150">
        <v>12</v>
      </c>
      <c r="O7" s="150">
        <v>13</v>
      </c>
      <c r="P7" s="150">
        <v>14</v>
      </c>
      <c r="Q7" s="150">
        <v>15</v>
      </c>
      <c r="R7" s="150">
        <v>16</v>
      </c>
      <c r="S7" s="150">
        <v>17</v>
      </c>
      <c r="T7" s="150">
        <v>18</v>
      </c>
    </row>
    <row r="8" spans="2:20" s="154" customFormat="1">
      <c r="B8" s="311" t="s">
        <v>260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</row>
    <row r="9" spans="2:20" s="154" customFormat="1" ht="18.75" customHeight="1">
      <c r="B9" s="153">
        <v>338</v>
      </c>
      <c r="C9" s="315" t="s">
        <v>416</v>
      </c>
      <c r="D9" s="315"/>
      <c r="E9" s="153">
        <v>100</v>
      </c>
      <c r="F9" s="153">
        <v>0.4</v>
      </c>
      <c r="G9" s="153">
        <v>0.4</v>
      </c>
      <c r="H9" s="153">
        <v>9.8000000000000007</v>
      </c>
      <c r="I9" s="153">
        <v>42</v>
      </c>
      <c r="J9" s="153">
        <v>0.04</v>
      </c>
      <c r="K9" s="153">
        <v>0.02</v>
      </c>
      <c r="L9" s="153">
        <v>10</v>
      </c>
      <c r="M9" s="153">
        <v>0</v>
      </c>
      <c r="N9" s="153">
        <v>0.2</v>
      </c>
      <c r="O9" s="153">
        <v>16</v>
      </c>
      <c r="P9" s="153">
        <v>11</v>
      </c>
      <c r="Q9" s="153">
        <v>0</v>
      </c>
      <c r="R9" s="153">
        <v>0</v>
      </c>
      <c r="S9" s="153">
        <v>9</v>
      </c>
      <c r="T9" s="153">
        <v>2.2000000000000002</v>
      </c>
    </row>
    <row r="10" spans="2:20" s="154" customFormat="1" ht="28.5" customHeight="1">
      <c r="B10" s="153">
        <v>15</v>
      </c>
      <c r="C10" s="315" t="s">
        <v>262</v>
      </c>
      <c r="D10" s="315"/>
      <c r="E10" s="153">
        <v>20</v>
      </c>
      <c r="F10" s="153">
        <v>4.6399999999999997</v>
      </c>
      <c r="G10" s="153">
        <v>6.8</v>
      </c>
      <c r="H10" s="153">
        <v>0.02</v>
      </c>
      <c r="I10" s="153">
        <v>79.8</v>
      </c>
      <c r="J10" s="153">
        <v>0.01</v>
      </c>
      <c r="K10" s="153">
        <v>0.06</v>
      </c>
      <c r="L10" s="153">
        <v>0.14000000000000001</v>
      </c>
      <c r="M10" s="153">
        <v>4.5999999999999999E-2</v>
      </c>
      <c r="N10" s="153">
        <v>0.1</v>
      </c>
      <c r="O10" s="153">
        <v>176</v>
      </c>
      <c r="P10" s="153">
        <v>100</v>
      </c>
      <c r="Q10" s="153">
        <v>0.8</v>
      </c>
      <c r="R10" s="153">
        <v>0.04</v>
      </c>
      <c r="S10" s="153">
        <v>7</v>
      </c>
      <c r="T10" s="153">
        <v>0.26</v>
      </c>
    </row>
    <row r="11" spans="2:20" s="154" customFormat="1" ht="26.25" customHeight="1">
      <c r="B11" s="153">
        <v>173</v>
      </c>
      <c r="C11" s="315" t="s">
        <v>263</v>
      </c>
      <c r="D11" s="315"/>
      <c r="E11" s="153">
        <v>200</v>
      </c>
      <c r="F11" s="153">
        <v>7.23</v>
      </c>
      <c r="G11" s="153">
        <v>9.81</v>
      </c>
      <c r="H11" s="153">
        <v>28.8</v>
      </c>
      <c r="I11" s="153">
        <v>225.2</v>
      </c>
      <c r="J11" s="153">
        <v>0.22</v>
      </c>
      <c r="K11" s="153">
        <v>0.2</v>
      </c>
      <c r="L11" s="153">
        <v>1.3</v>
      </c>
      <c r="M11" s="153">
        <v>0.08</v>
      </c>
      <c r="N11" s="153">
        <v>0</v>
      </c>
      <c r="O11" s="153">
        <v>142.58000000000001</v>
      </c>
      <c r="P11" s="153">
        <v>222.38</v>
      </c>
      <c r="Q11" s="153">
        <v>0</v>
      </c>
      <c r="R11" s="153">
        <v>1E-3</v>
      </c>
      <c r="S11" s="153">
        <v>65.69</v>
      </c>
      <c r="T11" s="153">
        <v>1.53</v>
      </c>
    </row>
    <row r="12" spans="2:20" s="154" customFormat="1" ht="17.25" customHeight="1">
      <c r="B12" s="153">
        <v>382</v>
      </c>
      <c r="C12" s="315" t="s">
        <v>322</v>
      </c>
      <c r="D12" s="315"/>
      <c r="E12" s="153">
        <v>200</v>
      </c>
      <c r="F12" s="153">
        <v>3.5</v>
      </c>
      <c r="G12" s="153">
        <v>3.7</v>
      </c>
      <c r="H12" s="153">
        <v>25.5</v>
      </c>
      <c r="I12" s="153">
        <v>149.30000000000001</v>
      </c>
      <c r="J12" s="153">
        <v>0.06</v>
      </c>
      <c r="K12" s="153">
        <v>0.01</v>
      </c>
      <c r="L12" s="153">
        <v>1.6</v>
      </c>
      <c r="M12" s="153">
        <v>0.04</v>
      </c>
      <c r="N12" s="153">
        <v>0.4</v>
      </c>
      <c r="O12" s="153">
        <v>102.6</v>
      </c>
      <c r="P12" s="153">
        <v>178.4</v>
      </c>
      <c r="Q12" s="153">
        <v>1</v>
      </c>
      <c r="R12" s="153">
        <v>1.2999999999999999E-2</v>
      </c>
      <c r="S12" s="153">
        <v>24.8</v>
      </c>
      <c r="T12" s="153">
        <v>1</v>
      </c>
    </row>
    <row r="13" spans="2:20" s="154" customFormat="1">
      <c r="B13" s="153" t="s">
        <v>270</v>
      </c>
      <c r="C13" s="315" t="s">
        <v>88</v>
      </c>
      <c r="D13" s="315"/>
      <c r="E13" s="153">
        <v>40</v>
      </c>
      <c r="F13" s="153">
        <v>3.04</v>
      </c>
      <c r="G13" s="153">
        <v>0.32</v>
      </c>
      <c r="H13" s="153">
        <v>19.68</v>
      </c>
      <c r="I13" s="153">
        <v>88.8</v>
      </c>
      <c r="J13" s="153">
        <v>0.04</v>
      </c>
      <c r="K13" s="153">
        <v>0.01</v>
      </c>
      <c r="L13" s="153">
        <v>0.88</v>
      </c>
      <c r="M13" s="153">
        <v>0</v>
      </c>
      <c r="N13" s="153">
        <v>0.7</v>
      </c>
      <c r="O13" s="153">
        <v>8</v>
      </c>
      <c r="P13" s="153">
        <v>26</v>
      </c>
      <c r="Q13" s="153">
        <v>8.0000000000000002E-3</v>
      </c>
      <c r="R13" s="153">
        <v>3.0000000000000001E-3</v>
      </c>
      <c r="S13" s="153">
        <v>0</v>
      </c>
      <c r="T13" s="153">
        <v>0.44</v>
      </c>
    </row>
    <row r="14" spans="2:20" s="154" customFormat="1" ht="20.25" customHeight="1">
      <c r="B14" s="320" t="s">
        <v>264</v>
      </c>
      <c r="C14" s="320"/>
      <c r="D14" s="320"/>
      <c r="E14" s="164">
        <f>SUM(E9:E13)</f>
        <v>560</v>
      </c>
      <c r="F14" s="164">
        <f t="shared" ref="F14:T14" si="0">SUM(F9:F13)</f>
        <v>18.809999999999999</v>
      </c>
      <c r="G14" s="164">
        <f t="shared" si="0"/>
        <v>21.03</v>
      </c>
      <c r="H14" s="164">
        <f t="shared" si="0"/>
        <v>83.800000000000011</v>
      </c>
      <c r="I14" s="164">
        <f t="shared" si="0"/>
        <v>585.1</v>
      </c>
      <c r="J14" s="164">
        <f t="shared" si="0"/>
        <v>0.37</v>
      </c>
      <c r="K14" s="164">
        <f t="shared" si="0"/>
        <v>0.30000000000000004</v>
      </c>
      <c r="L14" s="164">
        <f t="shared" si="0"/>
        <v>13.920000000000002</v>
      </c>
      <c r="M14" s="164">
        <f t="shared" si="0"/>
        <v>0.16600000000000001</v>
      </c>
      <c r="N14" s="164">
        <f t="shared" si="0"/>
        <v>1.4</v>
      </c>
      <c r="O14" s="164">
        <f t="shared" si="0"/>
        <v>445.18000000000006</v>
      </c>
      <c r="P14" s="164">
        <f t="shared" si="0"/>
        <v>537.78</v>
      </c>
      <c r="Q14" s="164">
        <f t="shared" si="0"/>
        <v>1.8080000000000001</v>
      </c>
      <c r="R14" s="164">
        <f t="shared" si="0"/>
        <v>5.7000000000000002E-2</v>
      </c>
      <c r="S14" s="164">
        <f t="shared" si="0"/>
        <v>106.49</v>
      </c>
      <c r="T14" s="164">
        <f t="shared" si="0"/>
        <v>5.4300000000000006</v>
      </c>
    </row>
    <row r="15" spans="2:20" s="154" customFormat="1">
      <c r="B15" s="311" t="s">
        <v>265</v>
      </c>
      <c r="C15" s="311"/>
      <c r="D15" s="311"/>
      <c r="E15" s="311"/>
      <c r="F15" s="172">
        <f t="shared" ref="F15:T15" si="1">F14/F35</f>
        <v>0.24428571428571427</v>
      </c>
      <c r="G15" s="172">
        <f t="shared" si="1"/>
        <v>0.26620253164556962</v>
      </c>
      <c r="H15" s="172">
        <f t="shared" si="1"/>
        <v>0.25014925373134334</v>
      </c>
      <c r="I15" s="172">
        <f t="shared" si="1"/>
        <v>0.24897872340425534</v>
      </c>
      <c r="J15" s="172">
        <f t="shared" si="1"/>
        <v>0.30833333333333335</v>
      </c>
      <c r="K15" s="172">
        <f t="shared" si="1"/>
        <v>0.21428571428571433</v>
      </c>
      <c r="L15" s="172">
        <f t="shared" si="1"/>
        <v>0.23200000000000004</v>
      </c>
      <c r="M15" s="172">
        <f t="shared" si="1"/>
        <v>0.23714285714285718</v>
      </c>
      <c r="N15" s="172">
        <f t="shared" si="1"/>
        <v>0.13999999999999999</v>
      </c>
      <c r="O15" s="172">
        <f t="shared" si="1"/>
        <v>0.40470909090909096</v>
      </c>
      <c r="P15" s="172">
        <f t="shared" si="1"/>
        <v>0.48889090909090904</v>
      </c>
      <c r="Q15" s="172">
        <f t="shared" si="1"/>
        <v>0.18080000000000002</v>
      </c>
      <c r="R15" s="172">
        <f t="shared" si="1"/>
        <v>0.56999999999999995</v>
      </c>
      <c r="S15" s="172">
        <f t="shared" si="1"/>
        <v>0.42596000000000001</v>
      </c>
      <c r="T15" s="172">
        <f t="shared" si="1"/>
        <v>0.45250000000000007</v>
      </c>
    </row>
    <row r="16" spans="2:20" s="154" customFormat="1"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</row>
    <row r="17" spans="2:20" s="154" customFormat="1">
      <c r="B17" s="311" t="s">
        <v>266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</row>
    <row r="18" spans="2:20" s="154" customFormat="1" ht="16.5" customHeight="1">
      <c r="B18" s="153" t="s">
        <v>334</v>
      </c>
      <c r="C18" s="315" t="s">
        <v>335</v>
      </c>
      <c r="D18" s="315"/>
      <c r="E18" s="153">
        <v>60</v>
      </c>
      <c r="F18" s="153">
        <v>1.03</v>
      </c>
      <c r="G18" s="153">
        <v>3</v>
      </c>
      <c r="H18" s="153">
        <v>5.08</v>
      </c>
      <c r="I18" s="153">
        <v>51.42</v>
      </c>
      <c r="J18" s="153">
        <v>0.01</v>
      </c>
      <c r="K18" s="153">
        <v>0.02</v>
      </c>
      <c r="L18" s="153">
        <v>11.89</v>
      </c>
      <c r="M18" s="153">
        <v>0.01</v>
      </c>
      <c r="N18" s="153"/>
      <c r="O18" s="153">
        <v>31.34</v>
      </c>
      <c r="P18" s="153">
        <v>20.37</v>
      </c>
      <c r="Q18" s="153"/>
      <c r="R18" s="153">
        <v>0</v>
      </c>
      <c r="S18" s="153">
        <v>9.61</v>
      </c>
      <c r="T18" s="153">
        <v>0.4</v>
      </c>
    </row>
    <row r="19" spans="2:20" s="154" customFormat="1" ht="30" customHeight="1">
      <c r="B19" s="153">
        <v>45</v>
      </c>
      <c r="C19" s="315" t="s">
        <v>267</v>
      </c>
      <c r="D19" s="315"/>
      <c r="E19" s="153">
        <v>60</v>
      </c>
      <c r="F19" s="153">
        <v>0.9</v>
      </c>
      <c r="G19" s="153">
        <v>1.31</v>
      </c>
      <c r="H19" s="153">
        <v>5.6</v>
      </c>
      <c r="I19" s="153">
        <v>37.79</v>
      </c>
      <c r="J19" s="153">
        <v>0.06</v>
      </c>
      <c r="K19" s="153">
        <v>7.0000000000000007E-2</v>
      </c>
      <c r="L19" s="153">
        <v>15.5</v>
      </c>
      <c r="M19" s="153">
        <v>7.0999999999999994E-2</v>
      </c>
      <c r="N19" s="153">
        <v>0.3</v>
      </c>
      <c r="O19" s="153">
        <v>28.2</v>
      </c>
      <c r="P19" s="153">
        <v>18.899999999999999</v>
      </c>
      <c r="Q19" s="153">
        <v>0.2</v>
      </c>
      <c r="R19" s="153">
        <v>1E-3</v>
      </c>
      <c r="S19" s="153">
        <v>10.5</v>
      </c>
      <c r="T19" s="153">
        <v>0.6</v>
      </c>
    </row>
    <row r="20" spans="2:20" s="154" customFormat="1" ht="17.25" customHeight="1">
      <c r="B20" s="181">
        <v>102</v>
      </c>
      <c r="C20" s="322" t="s">
        <v>336</v>
      </c>
      <c r="D20" s="322"/>
      <c r="E20" s="181">
        <v>200</v>
      </c>
      <c r="F20" s="181">
        <v>4.4000000000000004</v>
      </c>
      <c r="G20" s="181">
        <v>4.22</v>
      </c>
      <c r="H20" s="181">
        <v>13.22</v>
      </c>
      <c r="I20" s="181">
        <v>118.6</v>
      </c>
      <c r="J20" s="181">
        <v>0.18</v>
      </c>
      <c r="K20" s="181">
        <v>0.06</v>
      </c>
      <c r="L20" s="181">
        <v>4.66</v>
      </c>
      <c r="M20" s="181">
        <v>0.18</v>
      </c>
      <c r="N20" s="181"/>
      <c r="O20" s="181">
        <v>34.14</v>
      </c>
      <c r="P20" s="181">
        <v>70.48</v>
      </c>
      <c r="Q20" s="181"/>
      <c r="R20" s="181"/>
      <c r="S20" s="181">
        <v>28.46</v>
      </c>
      <c r="T20" s="181">
        <v>1.64</v>
      </c>
    </row>
    <row r="21" spans="2:20" s="154" customFormat="1" ht="16.5" customHeight="1">
      <c r="B21" s="153">
        <v>260</v>
      </c>
      <c r="C21" s="315" t="s">
        <v>337</v>
      </c>
      <c r="D21" s="315"/>
      <c r="E21" s="153">
        <v>90</v>
      </c>
      <c r="F21" s="153">
        <v>11.295</v>
      </c>
      <c r="G21" s="153">
        <v>11.691000000000001</v>
      </c>
      <c r="H21" s="153">
        <v>3.609</v>
      </c>
      <c r="I21" s="153">
        <v>164.25</v>
      </c>
      <c r="J21" s="153">
        <v>6.3E-2</v>
      </c>
      <c r="K21" s="153">
        <v>9.9000000000000005E-2</v>
      </c>
      <c r="L21" s="153">
        <v>4.5629999999999997</v>
      </c>
      <c r="M21" s="153">
        <v>1.341</v>
      </c>
      <c r="N21" s="153">
        <v>2.0249999999999999</v>
      </c>
      <c r="O21" s="153">
        <v>27.468</v>
      </c>
      <c r="P21" s="153">
        <v>107.271</v>
      </c>
      <c r="Q21" s="153"/>
      <c r="R21" s="153"/>
      <c r="S21" s="153">
        <v>21.626999999999999</v>
      </c>
      <c r="T21" s="153">
        <v>1.89</v>
      </c>
    </row>
    <row r="22" spans="2:20" s="154" customFormat="1" ht="28.5" customHeight="1">
      <c r="B22" s="153">
        <v>203</v>
      </c>
      <c r="C22" s="315" t="s">
        <v>268</v>
      </c>
      <c r="D22" s="315"/>
      <c r="E22" s="153">
        <v>150</v>
      </c>
      <c r="F22" s="153">
        <v>5.7</v>
      </c>
      <c r="G22" s="153">
        <v>3.43</v>
      </c>
      <c r="H22" s="153">
        <v>36.450000000000003</v>
      </c>
      <c r="I22" s="153">
        <v>199.5</v>
      </c>
      <c r="J22" s="153">
        <v>0.09</v>
      </c>
      <c r="K22" s="153">
        <v>0.03</v>
      </c>
      <c r="L22" s="153">
        <v>0</v>
      </c>
      <c r="M22" s="153">
        <v>0.03</v>
      </c>
      <c r="N22" s="153">
        <v>1.25</v>
      </c>
      <c r="O22" s="153">
        <v>13.28</v>
      </c>
      <c r="P22" s="153">
        <v>46.21</v>
      </c>
      <c r="Q22" s="153">
        <v>0.78</v>
      </c>
      <c r="R22" s="153">
        <v>2E-3</v>
      </c>
      <c r="S22" s="153">
        <v>8.4700000000000006</v>
      </c>
      <c r="T22" s="153">
        <v>0.86</v>
      </c>
    </row>
    <row r="23" spans="2:20" s="154" customFormat="1">
      <c r="B23" s="153">
        <v>377</v>
      </c>
      <c r="C23" s="315" t="s">
        <v>70</v>
      </c>
      <c r="D23" s="315"/>
      <c r="E23" s="153" t="s">
        <v>269</v>
      </c>
      <c r="F23" s="153">
        <v>0.26</v>
      </c>
      <c r="G23" s="153">
        <v>0.06</v>
      </c>
      <c r="H23" s="153">
        <v>15.22</v>
      </c>
      <c r="I23" s="153">
        <v>62.5</v>
      </c>
      <c r="J23" s="153"/>
      <c r="K23" s="153">
        <v>0.01</v>
      </c>
      <c r="L23" s="153">
        <v>2.9</v>
      </c>
      <c r="M23" s="153">
        <v>0</v>
      </c>
      <c r="N23" s="153">
        <v>0.06</v>
      </c>
      <c r="O23" s="153">
        <v>8.0500000000000007</v>
      </c>
      <c r="P23" s="153">
        <v>9.7799999999999994</v>
      </c>
      <c r="Q23" s="153">
        <v>0.02</v>
      </c>
      <c r="R23" s="153">
        <v>0</v>
      </c>
      <c r="S23" s="153">
        <v>5.24</v>
      </c>
      <c r="T23" s="153">
        <v>0.87</v>
      </c>
    </row>
    <row r="24" spans="2:20" s="154" customFormat="1" ht="15.75" customHeight="1">
      <c r="B24" s="153" t="s">
        <v>270</v>
      </c>
      <c r="C24" s="315" t="s">
        <v>135</v>
      </c>
      <c r="D24" s="315"/>
      <c r="E24" s="153">
        <v>40</v>
      </c>
      <c r="F24" s="153">
        <v>2.64</v>
      </c>
      <c r="G24" s="153">
        <v>0.48</v>
      </c>
      <c r="H24" s="153">
        <v>13.68</v>
      </c>
      <c r="I24" s="153">
        <v>69.599999999999994</v>
      </c>
      <c r="J24" s="153">
        <v>0.08</v>
      </c>
      <c r="K24" s="153">
        <v>0.04</v>
      </c>
      <c r="L24" s="153">
        <v>0</v>
      </c>
      <c r="M24" s="153">
        <v>0</v>
      </c>
      <c r="N24" s="153">
        <v>2.4</v>
      </c>
      <c r="O24" s="153">
        <v>14</v>
      </c>
      <c r="P24" s="153">
        <v>63.2</v>
      </c>
      <c r="Q24" s="153">
        <v>1.2</v>
      </c>
      <c r="R24" s="153">
        <v>1E-3</v>
      </c>
      <c r="S24" s="153">
        <v>9.4</v>
      </c>
      <c r="T24" s="153">
        <v>0.78</v>
      </c>
    </row>
    <row r="25" spans="2:20" s="154" customFormat="1">
      <c r="B25" s="153" t="s">
        <v>270</v>
      </c>
      <c r="C25" s="315" t="s">
        <v>35</v>
      </c>
      <c r="D25" s="315"/>
      <c r="E25" s="153">
        <v>30</v>
      </c>
      <c r="F25" s="153">
        <v>1.52</v>
      </c>
      <c r="G25" s="153">
        <v>0.16</v>
      </c>
      <c r="H25" s="153">
        <v>9.84</v>
      </c>
      <c r="I25" s="153">
        <v>46.9</v>
      </c>
      <c r="J25" s="153">
        <v>0.02</v>
      </c>
      <c r="K25" s="153">
        <v>0.01</v>
      </c>
      <c r="L25" s="153">
        <v>0.44</v>
      </c>
      <c r="M25" s="153">
        <v>0</v>
      </c>
      <c r="N25" s="153">
        <v>0.7</v>
      </c>
      <c r="O25" s="153">
        <v>4</v>
      </c>
      <c r="P25" s="153">
        <v>13</v>
      </c>
      <c r="Q25" s="153">
        <v>8.0000000000000002E-3</v>
      </c>
      <c r="R25" s="153">
        <v>1E-3</v>
      </c>
      <c r="S25" s="153">
        <v>0</v>
      </c>
      <c r="T25" s="153">
        <v>0.22</v>
      </c>
    </row>
    <row r="26" spans="2:20" s="154" customFormat="1" ht="20.25" customHeight="1">
      <c r="B26" s="320" t="s">
        <v>271</v>
      </c>
      <c r="C26" s="320"/>
      <c r="D26" s="320"/>
      <c r="E26" s="164">
        <f>E19+E20+E21+E22+E24+E25+204</f>
        <v>774</v>
      </c>
      <c r="F26" s="164">
        <f>SUM(F19:F25)</f>
        <v>26.715</v>
      </c>
      <c r="G26" s="164">
        <f t="shared" ref="G26:T26" si="2">SUM(G19:G25)</f>
        <v>21.350999999999999</v>
      </c>
      <c r="H26" s="164">
        <f t="shared" si="2"/>
        <v>97.619</v>
      </c>
      <c r="I26" s="164">
        <f t="shared" si="2"/>
        <v>699.14</v>
      </c>
      <c r="J26" s="164">
        <f t="shared" si="2"/>
        <v>0.49300000000000005</v>
      </c>
      <c r="K26" s="164">
        <f t="shared" si="2"/>
        <v>0.31900000000000001</v>
      </c>
      <c r="L26" s="164">
        <f t="shared" si="2"/>
        <v>28.062999999999999</v>
      </c>
      <c r="M26" s="164">
        <f t="shared" si="2"/>
        <v>1.6220000000000001</v>
      </c>
      <c r="N26" s="164">
        <f t="shared" si="2"/>
        <v>6.7350000000000003</v>
      </c>
      <c r="O26" s="164">
        <f t="shared" si="2"/>
        <v>129.13800000000001</v>
      </c>
      <c r="P26" s="164">
        <f t="shared" si="2"/>
        <v>328.84100000000001</v>
      </c>
      <c r="Q26" s="164">
        <f t="shared" si="2"/>
        <v>2.2080000000000002</v>
      </c>
      <c r="R26" s="164">
        <f t="shared" si="2"/>
        <v>5.0000000000000001E-3</v>
      </c>
      <c r="S26" s="164">
        <f t="shared" si="2"/>
        <v>83.697000000000003</v>
      </c>
      <c r="T26" s="164">
        <f t="shared" si="2"/>
        <v>6.86</v>
      </c>
    </row>
    <row r="27" spans="2:20" s="154" customFormat="1">
      <c r="B27" s="311" t="s">
        <v>265</v>
      </c>
      <c r="C27" s="311"/>
      <c r="D27" s="311"/>
      <c r="E27" s="311"/>
      <c r="F27" s="172">
        <f t="shared" ref="F27:T27" si="3">F26/F35</f>
        <v>0.34694805194805195</v>
      </c>
      <c r="G27" s="172">
        <f t="shared" si="3"/>
        <v>0.27026582278481009</v>
      </c>
      <c r="H27" s="172">
        <f t="shared" si="3"/>
        <v>0.29139999999999999</v>
      </c>
      <c r="I27" s="172">
        <f t="shared" si="3"/>
        <v>0.29750638297872339</v>
      </c>
      <c r="J27" s="172">
        <f t="shared" si="3"/>
        <v>0.41083333333333338</v>
      </c>
      <c r="K27" s="172">
        <f t="shared" si="3"/>
        <v>0.22785714285714287</v>
      </c>
      <c r="L27" s="172">
        <f t="shared" si="3"/>
        <v>0.46771666666666667</v>
      </c>
      <c r="M27" s="175">
        <f t="shared" si="3"/>
        <v>2.3171428571428576</v>
      </c>
      <c r="N27" s="172">
        <f t="shared" si="3"/>
        <v>0.67349999999999999</v>
      </c>
      <c r="O27" s="172">
        <f t="shared" si="3"/>
        <v>0.11739818181818182</v>
      </c>
      <c r="P27" s="172">
        <f t="shared" si="3"/>
        <v>0.29894636363636362</v>
      </c>
      <c r="Q27" s="172">
        <f t="shared" si="3"/>
        <v>0.22080000000000002</v>
      </c>
      <c r="R27" s="172">
        <f t="shared" si="3"/>
        <v>4.9999999999999996E-2</v>
      </c>
      <c r="S27" s="172">
        <f t="shared" si="3"/>
        <v>0.33478800000000003</v>
      </c>
      <c r="T27" s="172">
        <f t="shared" si="3"/>
        <v>0.57166666666666666</v>
      </c>
    </row>
    <row r="28" spans="2:20" s="178" customFormat="1">
      <c r="B28" s="323" t="s">
        <v>272</v>
      </c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</row>
    <row r="29" spans="2:20" s="154" customFormat="1" ht="16.5" customHeight="1">
      <c r="B29" s="153" t="s">
        <v>270</v>
      </c>
      <c r="C29" s="315" t="s">
        <v>400</v>
      </c>
      <c r="D29" s="315"/>
      <c r="E29" s="153">
        <v>100</v>
      </c>
      <c r="F29" s="153">
        <v>7.86</v>
      </c>
      <c r="G29" s="153">
        <v>5.57</v>
      </c>
      <c r="H29" s="153">
        <v>53.71</v>
      </c>
      <c r="I29" s="153">
        <v>297.14</v>
      </c>
      <c r="J29" s="153">
        <v>0.1</v>
      </c>
      <c r="K29" s="153">
        <v>0.04</v>
      </c>
      <c r="L29" s="153">
        <v>0</v>
      </c>
      <c r="M29" s="153">
        <v>0.1</v>
      </c>
      <c r="N29" s="153"/>
      <c r="O29" s="153">
        <v>16.170000000000002</v>
      </c>
      <c r="P29" s="153">
        <v>0</v>
      </c>
      <c r="Q29" s="153">
        <v>0</v>
      </c>
      <c r="R29" s="153">
        <v>0</v>
      </c>
      <c r="S29" s="153">
        <v>11.19</v>
      </c>
      <c r="T29" s="153">
        <v>0.9</v>
      </c>
    </row>
    <row r="30" spans="2:20" s="154" customFormat="1" ht="25.5" customHeight="1">
      <c r="B30" s="146">
        <v>349</v>
      </c>
      <c r="C30" s="316" t="s">
        <v>287</v>
      </c>
      <c r="D30" s="316"/>
      <c r="E30" s="146">
        <v>200</v>
      </c>
      <c r="F30" s="146">
        <v>0.22</v>
      </c>
      <c r="G30" s="146">
        <v>0</v>
      </c>
      <c r="H30" s="146">
        <v>24.42</v>
      </c>
      <c r="I30" s="146">
        <v>98.56</v>
      </c>
      <c r="J30" s="146"/>
      <c r="K30" s="146"/>
      <c r="L30" s="146">
        <v>0.2</v>
      </c>
      <c r="M30" s="146"/>
      <c r="N30" s="146"/>
      <c r="O30" s="146">
        <v>22.6</v>
      </c>
      <c r="P30" s="146">
        <v>7.7</v>
      </c>
      <c r="Q30" s="146">
        <v>0</v>
      </c>
      <c r="R30" s="146">
        <v>0</v>
      </c>
      <c r="S30" s="146">
        <v>3</v>
      </c>
      <c r="T30" s="146">
        <v>0.66</v>
      </c>
    </row>
    <row r="31" spans="2:20" s="154" customFormat="1" ht="13.5" customHeight="1">
      <c r="B31" s="312" t="s">
        <v>274</v>
      </c>
      <c r="C31" s="313"/>
      <c r="D31" s="314"/>
      <c r="E31" s="164">
        <f>E29+E30</f>
        <v>300</v>
      </c>
      <c r="F31" s="164">
        <f t="shared" ref="F31:T31" si="4">F29+F30</f>
        <v>8.08</v>
      </c>
      <c r="G31" s="164">
        <f t="shared" si="4"/>
        <v>5.57</v>
      </c>
      <c r="H31" s="164">
        <f t="shared" si="4"/>
        <v>78.13</v>
      </c>
      <c r="I31" s="164">
        <f t="shared" si="4"/>
        <v>395.7</v>
      </c>
      <c r="J31" s="164">
        <f t="shared" si="4"/>
        <v>0.1</v>
      </c>
      <c r="K31" s="164">
        <f t="shared" si="4"/>
        <v>0.04</v>
      </c>
      <c r="L31" s="164">
        <f t="shared" si="4"/>
        <v>0.2</v>
      </c>
      <c r="M31" s="164">
        <f t="shared" si="4"/>
        <v>0.1</v>
      </c>
      <c r="N31" s="164">
        <f t="shared" si="4"/>
        <v>0</v>
      </c>
      <c r="O31" s="164">
        <f t="shared" si="4"/>
        <v>38.770000000000003</v>
      </c>
      <c r="P31" s="164">
        <f t="shared" si="4"/>
        <v>7.7</v>
      </c>
      <c r="Q31" s="164">
        <f t="shared" si="4"/>
        <v>0</v>
      </c>
      <c r="R31" s="164">
        <f t="shared" si="4"/>
        <v>0</v>
      </c>
      <c r="S31" s="164">
        <f t="shared" si="4"/>
        <v>14.19</v>
      </c>
      <c r="T31" s="164">
        <f t="shared" si="4"/>
        <v>1.56</v>
      </c>
    </row>
    <row r="32" spans="2:20" s="154" customFormat="1" ht="15" customHeight="1">
      <c r="B32" s="311" t="s">
        <v>265</v>
      </c>
      <c r="C32" s="311"/>
      <c r="D32" s="311"/>
      <c r="E32" s="311"/>
      <c r="F32" s="172">
        <f>F31/F35</f>
        <v>0.10493506493506494</v>
      </c>
      <c r="G32" s="172">
        <f t="shared" ref="G32:T32" si="5">G31/G35</f>
        <v>7.0506329113924057E-2</v>
      </c>
      <c r="H32" s="172">
        <f t="shared" si="5"/>
        <v>0.2332238805970149</v>
      </c>
      <c r="I32" s="172">
        <f t="shared" si="5"/>
        <v>0.16838297872340424</v>
      </c>
      <c r="J32" s="172">
        <f t="shared" si="5"/>
        <v>8.3333333333333343E-2</v>
      </c>
      <c r="K32" s="172">
        <f t="shared" si="5"/>
        <v>2.8571428571428574E-2</v>
      </c>
      <c r="L32" s="172">
        <f t="shared" si="5"/>
        <v>3.3333333333333335E-3</v>
      </c>
      <c r="M32" s="172">
        <f t="shared" si="5"/>
        <v>0.14285714285714288</v>
      </c>
      <c r="N32" s="172">
        <f t="shared" si="5"/>
        <v>0</v>
      </c>
      <c r="O32" s="172">
        <f t="shared" si="5"/>
        <v>3.5245454545454545E-2</v>
      </c>
      <c r="P32" s="172">
        <f t="shared" si="5"/>
        <v>7.0000000000000001E-3</v>
      </c>
      <c r="Q32" s="172">
        <f t="shared" si="5"/>
        <v>0</v>
      </c>
      <c r="R32" s="172">
        <f t="shared" si="5"/>
        <v>0</v>
      </c>
      <c r="S32" s="172">
        <f t="shared" si="5"/>
        <v>5.6759999999999998E-2</v>
      </c>
      <c r="T32" s="172">
        <f t="shared" si="5"/>
        <v>0.13</v>
      </c>
    </row>
    <row r="33" spans="2:20" s="154" customFormat="1">
      <c r="B33" s="311" t="s">
        <v>265</v>
      </c>
      <c r="C33" s="311"/>
      <c r="D33" s="311"/>
      <c r="E33" s="311"/>
      <c r="F33" s="172">
        <v>8.5000000000000006E-2</v>
      </c>
      <c r="G33" s="172">
        <v>6.7000000000000004E-2</v>
      </c>
      <c r="H33" s="172">
        <v>0.13400000000000001</v>
      </c>
      <c r="I33" s="172">
        <v>0.108</v>
      </c>
      <c r="J33" s="172">
        <v>6.0999999999999999E-2</v>
      </c>
      <c r="K33" s="172">
        <v>0.21</v>
      </c>
      <c r="L33" s="172">
        <v>0.64800000000000002</v>
      </c>
      <c r="M33" s="172">
        <v>0.105</v>
      </c>
      <c r="N33" s="172">
        <v>0.1</v>
      </c>
      <c r="O33" s="172">
        <v>0.249</v>
      </c>
      <c r="P33" s="172">
        <v>0.187</v>
      </c>
      <c r="Q33" s="172">
        <v>6.2E-2</v>
      </c>
      <c r="R33" s="172">
        <v>2.7E-2</v>
      </c>
      <c r="S33" s="172">
        <v>0.16400000000000001</v>
      </c>
      <c r="T33" s="172">
        <v>0.16200000000000001</v>
      </c>
    </row>
    <row r="34" spans="2:20" s="154" customFormat="1">
      <c r="B34" s="311" t="s">
        <v>275</v>
      </c>
      <c r="C34" s="311"/>
      <c r="D34" s="311"/>
      <c r="E34" s="311"/>
      <c r="F34" s="164">
        <f>F14+F26+F31</f>
        <v>53.604999999999997</v>
      </c>
      <c r="G34" s="164">
        <f t="shared" ref="G34:T34" si="6">G14+G26+G31</f>
        <v>47.951000000000001</v>
      </c>
      <c r="H34" s="164">
        <f t="shared" si="6"/>
        <v>259.54899999999998</v>
      </c>
      <c r="I34" s="164">
        <f t="shared" si="6"/>
        <v>1679.94</v>
      </c>
      <c r="J34" s="164">
        <f t="shared" si="6"/>
        <v>0.96299999999999997</v>
      </c>
      <c r="K34" s="164">
        <f t="shared" si="6"/>
        <v>0.65900000000000003</v>
      </c>
      <c r="L34" s="164">
        <f t="shared" si="6"/>
        <v>42.183000000000007</v>
      </c>
      <c r="M34" s="164">
        <f t="shared" si="6"/>
        <v>1.8880000000000001</v>
      </c>
      <c r="N34" s="164">
        <f t="shared" si="6"/>
        <v>8.1349999999999998</v>
      </c>
      <c r="O34" s="164">
        <f t="shared" si="6"/>
        <v>613.08800000000008</v>
      </c>
      <c r="P34" s="164">
        <f t="shared" si="6"/>
        <v>874.32100000000003</v>
      </c>
      <c r="Q34" s="164">
        <f t="shared" si="6"/>
        <v>4.016</v>
      </c>
      <c r="R34" s="164">
        <f t="shared" si="6"/>
        <v>6.2E-2</v>
      </c>
      <c r="S34" s="164">
        <f t="shared" si="6"/>
        <v>204.37700000000001</v>
      </c>
      <c r="T34" s="164">
        <f t="shared" si="6"/>
        <v>13.850000000000001</v>
      </c>
    </row>
    <row r="35" spans="2:20" s="154" customFormat="1">
      <c r="B35" s="311" t="s">
        <v>276</v>
      </c>
      <c r="C35" s="311"/>
      <c r="D35" s="311"/>
      <c r="E35" s="311"/>
      <c r="F35" s="153">
        <v>77</v>
      </c>
      <c r="G35" s="153">
        <v>79</v>
      </c>
      <c r="H35" s="153">
        <v>335</v>
      </c>
      <c r="I35" s="153">
        <v>2350</v>
      </c>
      <c r="J35" s="153">
        <v>1.2</v>
      </c>
      <c r="K35" s="153">
        <v>1.4</v>
      </c>
      <c r="L35" s="153">
        <v>60</v>
      </c>
      <c r="M35" s="153">
        <v>0.7</v>
      </c>
      <c r="N35" s="153">
        <v>10</v>
      </c>
      <c r="O35" s="153">
        <v>1100</v>
      </c>
      <c r="P35" s="153">
        <v>1100</v>
      </c>
      <c r="Q35" s="153">
        <v>10</v>
      </c>
      <c r="R35" s="153">
        <v>0.1</v>
      </c>
      <c r="S35" s="153">
        <v>250</v>
      </c>
      <c r="T35" s="153">
        <v>12</v>
      </c>
    </row>
    <row r="36" spans="2:20" s="154" customFormat="1">
      <c r="B36" s="311" t="s">
        <v>265</v>
      </c>
      <c r="C36" s="311"/>
      <c r="D36" s="311"/>
      <c r="E36" s="311"/>
      <c r="F36" s="172">
        <f>F34/F35</f>
        <v>0.6961688311688311</v>
      </c>
      <c r="G36" s="172">
        <f t="shared" ref="G36:T36" si="7">G34/G35</f>
        <v>0.60697468354430384</v>
      </c>
      <c r="H36" s="172">
        <f t="shared" si="7"/>
        <v>0.77477313432835815</v>
      </c>
      <c r="I36" s="172">
        <f t="shared" si="7"/>
        <v>0.714868085106383</v>
      </c>
      <c r="J36" s="172">
        <f t="shared" si="7"/>
        <v>0.80249999999999999</v>
      </c>
      <c r="K36" s="172">
        <f t="shared" si="7"/>
        <v>0.47071428571428575</v>
      </c>
      <c r="L36" s="172">
        <f t="shared" si="7"/>
        <v>0.70305000000000006</v>
      </c>
      <c r="M36" s="172">
        <f t="shared" si="7"/>
        <v>2.6971428571428575</v>
      </c>
      <c r="N36" s="172">
        <f t="shared" si="7"/>
        <v>0.8135</v>
      </c>
      <c r="O36" s="172">
        <f t="shared" si="7"/>
        <v>0.55735272727272733</v>
      </c>
      <c r="P36" s="172">
        <f t="shared" si="7"/>
        <v>0.79483727272727278</v>
      </c>
      <c r="Q36" s="172">
        <f t="shared" si="7"/>
        <v>0.40160000000000001</v>
      </c>
      <c r="R36" s="172">
        <f t="shared" si="7"/>
        <v>0.62</v>
      </c>
      <c r="S36" s="172">
        <f t="shared" si="7"/>
        <v>0.81750800000000001</v>
      </c>
      <c r="T36" s="172">
        <f t="shared" si="7"/>
        <v>1.1541666666666668</v>
      </c>
    </row>
    <row r="37" spans="2:20" s="154" customFormat="1">
      <c r="B37" s="153"/>
      <c r="C37" s="153"/>
      <c r="D37" s="164"/>
      <c r="E37" s="164"/>
      <c r="F37" s="153"/>
      <c r="G37" s="153"/>
      <c r="H37" s="153"/>
      <c r="I37" s="153"/>
      <c r="J37" s="153"/>
      <c r="K37" s="153"/>
      <c r="L37" s="153"/>
      <c r="M37" s="324" t="s">
        <v>229</v>
      </c>
      <c r="N37" s="324"/>
      <c r="O37" s="324"/>
      <c r="P37" s="324"/>
      <c r="Q37" s="324"/>
      <c r="R37" s="324"/>
      <c r="S37" s="324"/>
      <c r="T37" s="324"/>
    </row>
    <row r="38" spans="2:20" s="154" customFormat="1">
      <c r="B38" s="311" t="s">
        <v>277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</row>
    <row r="39" spans="2:20" s="154" customFormat="1">
      <c r="B39" s="311" t="s">
        <v>231</v>
      </c>
      <c r="C39" s="311"/>
      <c r="D39" s="153"/>
      <c r="E39" s="153"/>
      <c r="F39" s="153"/>
      <c r="G39" s="324" t="s">
        <v>278</v>
      </c>
      <c r="H39" s="324"/>
      <c r="I39" s="324"/>
      <c r="J39" s="153"/>
      <c r="K39" s="153"/>
      <c r="L39" s="311" t="s">
        <v>233</v>
      </c>
      <c r="M39" s="311"/>
      <c r="N39" s="324" t="s">
        <v>234</v>
      </c>
      <c r="O39" s="324"/>
      <c r="P39" s="324"/>
      <c r="Q39" s="324"/>
      <c r="R39" s="153"/>
      <c r="S39" s="153"/>
      <c r="T39" s="153"/>
    </row>
    <row r="40" spans="2:20" s="154" customFormat="1">
      <c r="B40" s="153"/>
      <c r="C40" s="153"/>
      <c r="D40" s="153"/>
      <c r="E40" s="311" t="s">
        <v>235</v>
      </c>
      <c r="F40" s="311"/>
      <c r="G40" s="153">
        <v>1</v>
      </c>
      <c r="H40" s="153"/>
      <c r="I40" s="153"/>
      <c r="J40" s="153"/>
      <c r="K40" s="153"/>
      <c r="L40" s="311" t="s">
        <v>236</v>
      </c>
      <c r="M40" s="311"/>
      <c r="N40" s="324" t="s">
        <v>237</v>
      </c>
      <c r="O40" s="324"/>
      <c r="P40" s="324"/>
      <c r="Q40" s="324"/>
      <c r="R40" s="324"/>
      <c r="S40" s="324"/>
      <c r="T40" s="324"/>
    </row>
    <row r="41" spans="2:20" s="177" customFormat="1">
      <c r="B41" s="149" t="s">
        <v>279</v>
      </c>
      <c r="C41" s="321" t="s">
        <v>239</v>
      </c>
      <c r="D41" s="321"/>
      <c r="E41" s="321" t="s">
        <v>240</v>
      </c>
      <c r="F41" s="321" t="s">
        <v>241</v>
      </c>
      <c r="G41" s="321"/>
      <c r="H41" s="321"/>
      <c r="I41" s="149" t="s">
        <v>242</v>
      </c>
      <c r="J41" s="321" t="s">
        <v>244</v>
      </c>
      <c r="K41" s="321"/>
      <c r="L41" s="321"/>
      <c r="M41" s="321"/>
      <c r="N41" s="321"/>
      <c r="O41" s="321" t="s">
        <v>245</v>
      </c>
      <c r="P41" s="321"/>
      <c r="Q41" s="321"/>
      <c r="R41" s="321"/>
      <c r="S41" s="321"/>
      <c r="T41" s="321"/>
    </row>
    <row r="42" spans="2:20" s="177" customFormat="1" ht="51">
      <c r="B42" s="149" t="s">
        <v>280</v>
      </c>
      <c r="C42" s="321"/>
      <c r="D42" s="321"/>
      <c r="E42" s="321"/>
      <c r="F42" s="149" t="s">
        <v>246</v>
      </c>
      <c r="G42" s="149" t="s">
        <v>247</v>
      </c>
      <c r="H42" s="149" t="s">
        <v>248</v>
      </c>
      <c r="I42" s="149" t="s">
        <v>243</v>
      </c>
      <c r="J42" s="149" t="s">
        <v>249</v>
      </c>
      <c r="K42" s="149" t="s">
        <v>250</v>
      </c>
      <c r="L42" s="149" t="s">
        <v>251</v>
      </c>
      <c r="M42" s="149" t="s">
        <v>252</v>
      </c>
      <c r="N42" s="149" t="s">
        <v>253</v>
      </c>
      <c r="O42" s="149" t="s">
        <v>254</v>
      </c>
      <c r="P42" s="149" t="s">
        <v>255</v>
      </c>
      <c r="Q42" s="149" t="s">
        <v>256</v>
      </c>
      <c r="R42" s="149" t="s">
        <v>257</v>
      </c>
      <c r="S42" s="149" t="s">
        <v>258</v>
      </c>
      <c r="T42" s="149" t="s">
        <v>259</v>
      </c>
    </row>
    <row r="43" spans="2:20" s="154" customFormat="1">
      <c r="B43" s="167">
        <v>1</v>
      </c>
      <c r="C43" s="325">
        <v>2</v>
      </c>
      <c r="D43" s="325"/>
      <c r="E43" s="167">
        <v>3</v>
      </c>
      <c r="F43" s="167">
        <v>4</v>
      </c>
      <c r="G43" s="167">
        <v>5</v>
      </c>
      <c r="H43" s="167">
        <v>6</v>
      </c>
      <c r="I43" s="167">
        <v>7</v>
      </c>
      <c r="J43" s="167">
        <v>8</v>
      </c>
      <c r="K43" s="167">
        <v>9</v>
      </c>
      <c r="L43" s="167">
        <v>10</v>
      </c>
      <c r="M43" s="167">
        <v>11</v>
      </c>
      <c r="N43" s="167">
        <v>12</v>
      </c>
      <c r="O43" s="167">
        <v>13</v>
      </c>
      <c r="P43" s="167">
        <v>14</v>
      </c>
      <c r="Q43" s="167">
        <v>15</v>
      </c>
      <c r="R43" s="167">
        <v>16</v>
      </c>
      <c r="S43" s="167">
        <v>17</v>
      </c>
      <c r="T43" s="167">
        <v>18</v>
      </c>
    </row>
    <row r="44" spans="2:20" s="154" customFormat="1">
      <c r="B44" s="311" t="s">
        <v>281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</row>
    <row r="45" spans="2:20" s="161" customFormat="1" ht="18.75" customHeight="1">
      <c r="B45" s="163" t="s">
        <v>324</v>
      </c>
      <c r="C45" s="315" t="s">
        <v>224</v>
      </c>
      <c r="D45" s="315"/>
      <c r="E45" s="153">
        <v>40</v>
      </c>
      <c r="F45" s="153">
        <v>0.4</v>
      </c>
      <c r="G45" s="153">
        <v>1.8</v>
      </c>
      <c r="H45" s="153">
        <v>5.8</v>
      </c>
      <c r="I45" s="163">
        <v>40</v>
      </c>
      <c r="J45" s="153">
        <v>0.01</v>
      </c>
      <c r="K45" s="153">
        <v>0.01</v>
      </c>
      <c r="L45" s="153">
        <v>1.53</v>
      </c>
      <c r="M45" s="153">
        <v>0.01</v>
      </c>
      <c r="N45" s="153"/>
      <c r="O45" s="153">
        <v>8.19</v>
      </c>
      <c r="P45" s="153">
        <v>0</v>
      </c>
      <c r="Q45" s="153"/>
      <c r="R45" s="153">
        <v>0</v>
      </c>
      <c r="S45" s="153">
        <v>4.68</v>
      </c>
      <c r="T45" s="153">
        <v>0.21</v>
      </c>
    </row>
    <row r="46" spans="2:20" s="154" customFormat="1" ht="29.25" customHeight="1">
      <c r="B46" s="163">
        <v>71</v>
      </c>
      <c r="C46" s="315" t="s">
        <v>282</v>
      </c>
      <c r="D46" s="315"/>
      <c r="E46" s="163">
        <v>40</v>
      </c>
      <c r="F46" s="163">
        <v>0.33</v>
      </c>
      <c r="G46" s="163">
        <v>0.04</v>
      </c>
      <c r="H46" s="163">
        <v>1.1299999999999999</v>
      </c>
      <c r="I46" s="163">
        <v>6.23</v>
      </c>
      <c r="J46" s="163">
        <v>8.9999999999999993E-3</v>
      </c>
      <c r="K46" s="163">
        <v>0.01</v>
      </c>
      <c r="L46" s="163">
        <v>3</v>
      </c>
      <c r="M46" s="163">
        <v>3.0000000000000001E-3</v>
      </c>
      <c r="N46" s="163">
        <v>0.03</v>
      </c>
      <c r="O46" s="163">
        <v>6.9</v>
      </c>
      <c r="P46" s="163">
        <v>12.6</v>
      </c>
      <c r="Q46" s="163">
        <v>6.4000000000000001E-2</v>
      </c>
      <c r="R46" s="163">
        <v>1E-3</v>
      </c>
      <c r="S46" s="163">
        <v>4.2</v>
      </c>
      <c r="T46" s="163">
        <v>0.18</v>
      </c>
    </row>
    <row r="47" spans="2:20" s="154" customFormat="1" ht="26.25" customHeight="1">
      <c r="B47" s="163" t="s">
        <v>325</v>
      </c>
      <c r="C47" s="315" t="s">
        <v>214</v>
      </c>
      <c r="D47" s="315"/>
      <c r="E47" s="163">
        <v>90</v>
      </c>
      <c r="F47" s="163">
        <v>10.26</v>
      </c>
      <c r="G47" s="163">
        <v>10.08</v>
      </c>
      <c r="H47" s="163">
        <v>12.15</v>
      </c>
      <c r="I47" s="163">
        <v>181.8</v>
      </c>
      <c r="J47" s="163">
        <v>7.0000000000000007E-2</v>
      </c>
      <c r="K47" s="163">
        <v>0.12</v>
      </c>
      <c r="L47" s="163">
        <v>0.9</v>
      </c>
      <c r="M47" s="163">
        <v>7.0000000000000007E-2</v>
      </c>
      <c r="N47" s="163"/>
      <c r="O47" s="163">
        <v>28.8</v>
      </c>
      <c r="P47" s="163">
        <v>0</v>
      </c>
      <c r="Q47" s="163">
        <v>2.5649999999999999</v>
      </c>
      <c r="R47" s="163"/>
      <c r="S47" s="163">
        <v>23.49</v>
      </c>
      <c r="T47" s="163">
        <v>0</v>
      </c>
    </row>
    <row r="48" spans="2:20" s="154" customFormat="1" ht="16.5" customHeight="1">
      <c r="B48" s="153">
        <v>304</v>
      </c>
      <c r="C48" s="315" t="s">
        <v>283</v>
      </c>
      <c r="D48" s="315"/>
      <c r="E48" s="153">
        <v>150</v>
      </c>
      <c r="F48" s="153">
        <v>3.7</v>
      </c>
      <c r="G48" s="153">
        <v>5.37</v>
      </c>
      <c r="H48" s="153">
        <v>36.68</v>
      </c>
      <c r="I48" s="153">
        <v>209.85</v>
      </c>
      <c r="J48" s="153">
        <v>0.03</v>
      </c>
      <c r="K48" s="153">
        <v>0.02</v>
      </c>
      <c r="L48" s="153">
        <v>0</v>
      </c>
      <c r="M48" s="153">
        <v>0.04</v>
      </c>
      <c r="N48" s="153">
        <v>0</v>
      </c>
      <c r="O48" s="153">
        <v>14.9</v>
      </c>
      <c r="P48" s="153">
        <v>79.400000000000006</v>
      </c>
      <c r="Q48" s="153">
        <v>0</v>
      </c>
      <c r="R48" s="153">
        <v>1E-3</v>
      </c>
      <c r="S48" s="153">
        <v>27.9</v>
      </c>
      <c r="T48" s="153">
        <v>0.59</v>
      </c>
    </row>
    <row r="49" spans="2:20" s="154" customFormat="1" ht="18" customHeight="1">
      <c r="B49" s="153">
        <v>379</v>
      </c>
      <c r="C49" s="315" t="s">
        <v>284</v>
      </c>
      <c r="D49" s="315"/>
      <c r="E49" s="153">
        <v>200</v>
      </c>
      <c r="F49" s="153">
        <v>3.17</v>
      </c>
      <c r="G49" s="153">
        <v>2.68</v>
      </c>
      <c r="H49" s="153">
        <v>15.95</v>
      </c>
      <c r="I49" s="153">
        <v>100.6</v>
      </c>
      <c r="J49" s="153">
        <v>0.04</v>
      </c>
      <c r="K49" s="153">
        <v>0.15</v>
      </c>
      <c r="L49" s="153">
        <v>1.3</v>
      </c>
      <c r="M49" s="153">
        <v>0.03</v>
      </c>
      <c r="N49" s="153">
        <v>0.06</v>
      </c>
      <c r="O49" s="153">
        <v>120.4</v>
      </c>
      <c r="P49" s="153">
        <v>90</v>
      </c>
      <c r="Q49" s="153">
        <v>1.1000000000000001</v>
      </c>
      <c r="R49" s="153">
        <v>0.01</v>
      </c>
      <c r="S49" s="153">
        <v>14</v>
      </c>
      <c r="T49" s="153">
        <v>0.12</v>
      </c>
    </row>
    <row r="50" spans="2:20" s="154" customFormat="1">
      <c r="B50" s="153" t="s">
        <v>270</v>
      </c>
      <c r="C50" s="315" t="s">
        <v>88</v>
      </c>
      <c r="D50" s="315"/>
      <c r="E50" s="153">
        <v>40</v>
      </c>
      <c r="F50" s="153">
        <v>3.04</v>
      </c>
      <c r="G50" s="153">
        <v>0.32</v>
      </c>
      <c r="H50" s="153">
        <v>19.68</v>
      </c>
      <c r="I50" s="153">
        <v>93.8</v>
      </c>
      <c r="J50" s="153">
        <v>0.04</v>
      </c>
      <c r="K50" s="153">
        <v>0.01</v>
      </c>
      <c r="L50" s="153">
        <v>0.88</v>
      </c>
      <c r="M50" s="153">
        <v>0</v>
      </c>
      <c r="N50" s="153">
        <v>0.7</v>
      </c>
      <c r="O50" s="153">
        <v>8</v>
      </c>
      <c r="P50" s="153">
        <v>26</v>
      </c>
      <c r="Q50" s="153">
        <v>8.0000000000000002E-3</v>
      </c>
      <c r="R50" s="153">
        <v>3.0000000000000001E-3</v>
      </c>
      <c r="S50" s="153">
        <v>0</v>
      </c>
      <c r="T50" s="153">
        <v>0.44</v>
      </c>
    </row>
    <row r="51" spans="2:20" s="154" customFormat="1">
      <c r="B51" s="169" t="s">
        <v>285</v>
      </c>
      <c r="C51" s="171"/>
      <c r="D51" s="164"/>
      <c r="E51" s="164">
        <f>SUM(E46:E50)</f>
        <v>520</v>
      </c>
      <c r="F51" s="164">
        <f t="shared" ref="F51" si="8">SUM(F46:F50)</f>
        <v>20.5</v>
      </c>
      <c r="G51" s="164">
        <f t="shared" ref="G51" si="9">SUM(G46:G50)</f>
        <v>18.489999999999998</v>
      </c>
      <c r="H51" s="164">
        <f t="shared" ref="H51" si="10">SUM(H46:H50)</f>
        <v>85.59</v>
      </c>
      <c r="I51" s="164">
        <f t="shared" ref="I51" si="11">SUM(I46:I50)</f>
        <v>592.28</v>
      </c>
      <c r="J51" s="164">
        <f t="shared" ref="J51" si="12">SUM(J46:J50)</f>
        <v>0.189</v>
      </c>
      <c r="K51" s="164">
        <f t="shared" ref="K51" si="13">SUM(K46:K50)</f>
        <v>0.31</v>
      </c>
      <c r="L51" s="164">
        <f t="shared" ref="L51" si="14">SUM(L46:L50)</f>
        <v>6.08</v>
      </c>
      <c r="M51" s="164">
        <f t="shared" ref="M51" si="15">SUM(M46:M50)</f>
        <v>0.14300000000000002</v>
      </c>
      <c r="N51" s="164">
        <f t="shared" ref="N51" si="16">SUM(N46:N50)</f>
        <v>0.78999999999999992</v>
      </c>
      <c r="O51" s="164">
        <f t="shared" ref="O51" si="17">SUM(O46:O50)</f>
        <v>179</v>
      </c>
      <c r="P51" s="164">
        <f t="shared" ref="P51" si="18">SUM(P46:P50)</f>
        <v>208</v>
      </c>
      <c r="Q51" s="164">
        <f t="shared" ref="Q51" si="19">SUM(Q46:Q50)</f>
        <v>3.7370000000000001</v>
      </c>
      <c r="R51" s="164">
        <f t="shared" ref="R51" si="20">SUM(R46:R50)</f>
        <v>1.4999999999999999E-2</v>
      </c>
      <c r="S51" s="164">
        <f t="shared" ref="S51" si="21">SUM(S46:S50)</f>
        <v>69.59</v>
      </c>
      <c r="T51" s="164">
        <f t="shared" ref="T51" si="22">SUM(T46:T50)</f>
        <v>1.33</v>
      </c>
    </row>
    <row r="52" spans="2:20" s="154" customFormat="1">
      <c r="B52" s="311" t="s">
        <v>265</v>
      </c>
      <c r="C52" s="311"/>
      <c r="D52" s="311"/>
      <c r="E52" s="311"/>
      <c r="F52" s="172">
        <f>F51/F69</f>
        <v>0.26623376623376621</v>
      </c>
      <c r="G52" s="172">
        <v>0.40100000000000002</v>
      </c>
      <c r="H52" s="172">
        <v>0.23200000000000001</v>
      </c>
      <c r="I52" s="172">
        <v>0.29899999999999999</v>
      </c>
      <c r="J52" s="172">
        <v>0.26800000000000002</v>
      </c>
      <c r="K52" s="172">
        <v>0.23200000000000001</v>
      </c>
      <c r="L52" s="172">
        <v>9.4E-2</v>
      </c>
      <c r="M52" s="172">
        <v>0.16900000000000001</v>
      </c>
      <c r="N52" s="172">
        <v>0.08</v>
      </c>
      <c r="O52" s="172">
        <v>0.186</v>
      </c>
      <c r="P52" s="172">
        <v>0.371</v>
      </c>
      <c r="Q52" s="172">
        <v>0.374</v>
      </c>
      <c r="R52" s="172">
        <v>0.6</v>
      </c>
      <c r="S52" s="172">
        <v>0.29399999999999998</v>
      </c>
      <c r="T52" s="172">
        <v>0.29199999999999998</v>
      </c>
    </row>
    <row r="53" spans="2:20" s="154" customFormat="1">
      <c r="B53" s="311" t="s">
        <v>266</v>
      </c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</row>
    <row r="54" spans="2:20" s="154" customFormat="1" ht="26.25" customHeight="1">
      <c r="B54" s="153">
        <v>52</v>
      </c>
      <c r="C54" s="315" t="s">
        <v>136</v>
      </c>
      <c r="D54" s="315"/>
      <c r="E54" s="153">
        <v>60</v>
      </c>
      <c r="F54" s="153">
        <v>0.86</v>
      </c>
      <c r="G54" s="153">
        <v>3.05</v>
      </c>
      <c r="H54" s="153">
        <v>5.13</v>
      </c>
      <c r="I54" s="153">
        <v>51.41</v>
      </c>
      <c r="J54" s="153">
        <v>0.01</v>
      </c>
      <c r="K54" s="153">
        <v>0.02</v>
      </c>
      <c r="L54" s="153">
        <v>5.7</v>
      </c>
      <c r="M54" s="153">
        <v>0.01</v>
      </c>
      <c r="N54" s="153">
        <v>0.1</v>
      </c>
      <c r="O54" s="153">
        <v>26.61</v>
      </c>
      <c r="P54" s="153">
        <v>25.64</v>
      </c>
      <c r="Q54" s="153">
        <v>0.43</v>
      </c>
      <c r="R54" s="153">
        <v>0.01</v>
      </c>
      <c r="S54" s="153">
        <v>12.9</v>
      </c>
      <c r="T54" s="153">
        <v>0.84</v>
      </c>
    </row>
    <row r="55" spans="2:20" s="154" customFormat="1" ht="30" customHeight="1">
      <c r="B55" s="153">
        <v>101</v>
      </c>
      <c r="C55" s="315" t="s">
        <v>338</v>
      </c>
      <c r="D55" s="315"/>
      <c r="E55" s="153">
        <v>200</v>
      </c>
      <c r="F55" s="153">
        <v>2.36</v>
      </c>
      <c r="G55" s="153">
        <v>2.6</v>
      </c>
      <c r="H55" s="153">
        <v>14.8</v>
      </c>
      <c r="I55" s="153">
        <v>92.16</v>
      </c>
      <c r="J55" s="153">
        <v>0.1</v>
      </c>
      <c r="K55" s="153">
        <v>0.06</v>
      </c>
      <c r="L55" s="153">
        <v>5.28</v>
      </c>
      <c r="M55" s="153">
        <v>0.16</v>
      </c>
      <c r="N55" s="153">
        <v>1.52</v>
      </c>
      <c r="O55" s="153">
        <v>22.4</v>
      </c>
      <c r="P55" s="153">
        <v>61.78</v>
      </c>
      <c r="Q55" s="153"/>
      <c r="R55" s="153">
        <v>3.9199999999999999E-3</v>
      </c>
      <c r="S55" s="153">
        <v>32.08</v>
      </c>
      <c r="T55" s="153">
        <v>1.24</v>
      </c>
    </row>
    <row r="56" spans="2:20" s="154" customFormat="1" ht="15.75" customHeight="1">
      <c r="B56" s="176" t="s">
        <v>401</v>
      </c>
      <c r="C56" s="315" t="s">
        <v>216</v>
      </c>
      <c r="D56" s="315"/>
      <c r="E56" s="153">
        <v>90</v>
      </c>
      <c r="F56" s="153">
        <v>8.6999999999999993</v>
      </c>
      <c r="G56" s="153">
        <v>4.7300000000000004</v>
      </c>
      <c r="H56" s="153">
        <v>3.67</v>
      </c>
      <c r="I56" s="153">
        <v>91.5</v>
      </c>
      <c r="J56" s="153"/>
      <c r="K56" s="153"/>
      <c r="L56" s="153">
        <v>2.0499999999999998</v>
      </c>
      <c r="M56" s="153"/>
      <c r="N56" s="153"/>
      <c r="O56" s="153">
        <v>35.869999999999997</v>
      </c>
      <c r="P56" s="153"/>
      <c r="Q56" s="153"/>
      <c r="R56" s="153"/>
      <c r="S56" s="153">
        <v>0</v>
      </c>
      <c r="T56" s="153">
        <v>0.7</v>
      </c>
    </row>
    <row r="57" spans="2:20" s="154" customFormat="1" ht="25.5" customHeight="1">
      <c r="B57" s="153">
        <v>312</v>
      </c>
      <c r="C57" s="315" t="s">
        <v>286</v>
      </c>
      <c r="D57" s="315"/>
      <c r="E57" s="153">
        <v>150</v>
      </c>
      <c r="F57" s="153">
        <v>3.29</v>
      </c>
      <c r="G57" s="153">
        <v>7.06</v>
      </c>
      <c r="H57" s="153">
        <v>22.21</v>
      </c>
      <c r="I57" s="153">
        <v>165.54</v>
      </c>
      <c r="J57" s="153">
        <v>0.16</v>
      </c>
      <c r="K57" s="153">
        <v>0.13</v>
      </c>
      <c r="L57" s="153">
        <v>26.11</v>
      </c>
      <c r="M57" s="153">
        <v>0.08</v>
      </c>
      <c r="N57" s="153">
        <v>1.5</v>
      </c>
      <c r="O57" s="153">
        <v>42.54</v>
      </c>
      <c r="P57" s="153">
        <v>97.8</v>
      </c>
      <c r="Q57" s="153">
        <v>0.29899999999999999</v>
      </c>
      <c r="R57" s="153">
        <v>1E-3</v>
      </c>
      <c r="S57" s="153">
        <v>33.06</v>
      </c>
      <c r="T57" s="153">
        <v>1.19</v>
      </c>
    </row>
    <row r="58" spans="2:20" s="154" customFormat="1" ht="25.5" customHeight="1">
      <c r="B58" s="153">
        <v>349</v>
      </c>
      <c r="C58" s="315" t="s">
        <v>287</v>
      </c>
      <c r="D58" s="315"/>
      <c r="E58" s="153">
        <v>200</v>
      </c>
      <c r="F58" s="153">
        <v>0.22</v>
      </c>
      <c r="G58" s="153"/>
      <c r="H58" s="153">
        <v>24.42</v>
      </c>
      <c r="I58" s="153">
        <v>98.56</v>
      </c>
      <c r="J58" s="153"/>
      <c r="K58" s="153"/>
      <c r="L58" s="153">
        <v>0.2</v>
      </c>
      <c r="M58" s="153"/>
      <c r="N58" s="153"/>
      <c r="O58" s="153">
        <v>22.6</v>
      </c>
      <c r="P58" s="153">
        <v>7.7</v>
      </c>
      <c r="Q58" s="153">
        <v>0</v>
      </c>
      <c r="R58" s="153">
        <v>0</v>
      </c>
      <c r="S58" s="153">
        <v>3</v>
      </c>
      <c r="T58" s="153">
        <v>0.66</v>
      </c>
    </row>
    <row r="59" spans="2:20" s="154" customFormat="1" ht="18" customHeight="1">
      <c r="B59" s="153" t="s">
        <v>270</v>
      </c>
      <c r="C59" s="315" t="s">
        <v>135</v>
      </c>
      <c r="D59" s="315"/>
      <c r="E59" s="153">
        <v>40</v>
      </c>
      <c r="F59" s="153">
        <v>2.64</v>
      </c>
      <c r="G59" s="153">
        <v>0.48</v>
      </c>
      <c r="H59" s="153">
        <v>13.68</v>
      </c>
      <c r="I59" s="153">
        <v>69.599999999999994</v>
      </c>
      <c r="J59" s="153">
        <v>0.08</v>
      </c>
      <c r="K59" s="153">
        <v>0.04</v>
      </c>
      <c r="L59" s="153">
        <v>0</v>
      </c>
      <c r="M59" s="153">
        <v>0</v>
      </c>
      <c r="N59" s="153">
        <v>2.4</v>
      </c>
      <c r="O59" s="153">
        <v>14</v>
      </c>
      <c r="P59" s="153">
        <v>63.2</v>
      </c>
      <c r="Q59" s="153">
        <v>1.2</v>
      </c>
      <c r="R59" s="153">
        <v>1E-3</v>
      </c>
      <c r="S59" s="153">
        <v>9.4</v>
      </c>
      <c r="T59" s="153">
        <v>0.78</v>
      </c>
    </row>
    <row r="60" spans="2:20" s="154" customFormat="1">
      <c r="B60" s="153" t="s">
        <v>270</v>
      </c>
      <c r="C60" s="315" t="s">
        <v>35</v>
      </c>
      <c r="D60" s="315"/>
      <c r="E60" s="153">
        <v>30</v>
      </c>
      <c r="F60" s="153">
        <v>1.52</v>
      </c>
      <c r="G60" s="153">
        <v>0.16</v>
      </c>
      <c r="H60" s="153">
        <v>9.84</v>
      </c>
      <c r="I60" s="153">
        <v>46.9</v>
      </c>
      <c r="J60" s="153">
        <v>0.02</v>
      </c>
      <c r="K60" s="153">
        <v>0.01</v>
      </c>
      <c r="L60" s="153">
        <v>0.44</v>
      </c>
      <c r="M60" s="153">
        <v>0</v>
      </c>
      <c r="N60" s="153">
        <v>0.7</v>
      </c>
      <c r="O60" s="153">
        <v>4</v>
      </c>
      <c r="P60" s="153">
        <v>13</v>
      </c>
      <c r="Q60" s="153">
        <v>8.0000000000000002E-3</v>
      </c>
      <c r="R60" s="153">
        <v>1E-3</v>
      </c>
      <c r="S60" s="153">
        <v>0</v>
      </c>
      <c r="T60" s="153">
        <v>0.22</v>
      </c>
    </row>
    <row r="61" spans="2:20" s="154" customFormat="1" ht="27" customHeight="1">
      <c r="B61" s="311" t="s">
        <v>271</v>
      </c>
      <c r="C61" s="311"/>
      <c r="D61" s="311"/>
      <c r="E61" s="164">
        <f>SUM(E54:E60)</f>
        <v>770</v>
      </c>
      <c r="F61" s="164">
        <f t="shared" ref="F61:T61" si="23">SUM(F54:F60)</f>
        <v>19.589999999999996</v>
      </c>
      <c r="G61" s="164">
        <f t="shared" si="23"/>
        <v>18.080000000000002</v>
      </c>
      <c r="H61" s="164">
        <f t="shared" si="23"/>
        <v>93.75</v>
      </c>
      <c r="I61" s="164">
        <f t="shared" si="23"/>
        <v>615.66999999999996</v>
      </c>
      <c r="J61" s="164">
        <f t="shared" si="23"/>
        <v>0.37000000000000005</v>
      </c>
      <c r="K61" s="164">
        <f t="shared" si="23"/>
        <v>0.26</v>
      </c>
      <c r="L61" s="164">
        <f t="shared" si="23"/>
        <v>39.78</v>
      </c>
      <c r="M61" s="164">
        <f t="shared" si="23"/>
        <v>0.25</v>
      </c>
      <c r="N61" s="164">
        <f t="shared" si="23"/>
        <v>6.22</v>
      </c>
      <c r="O61" s="164">
        <f t="shared" si="23"/>
        <v>168.01999999999998</v>
      </c>
      <c r="P61" s="164">
        <f t="shared" si="23"/>
        <v>269.12</v>
      </c>
      <c r="Q61" s="164">
        <f t="shared" si="23"/>
        <v>1.9369999999999998</v>
      </c>
      <c r="R61" s="164">
        <f t="shared" si="23"/>
        <v>1.6920000000000001E-2</v>
      </c>
      <c r="S61" s="164">
        <f t="shared" si="23"/>
        <v>90.44</v>
      </c>
      <c r="T61" s="164">
        <f t="shared" si="23"/>
        <v>5.63</v>
      </c>
    </row>
    <row r="62" spans="2:20" s="154" customFormat="1">
      <c r="B62" s="311" t="s">
        <v>265</v>
      </c>
      <c r="C62" s="311"/>
      <c r="D62" s="311"/>
      <c r="E62" s="311"/>
      <c r="F62" s="172">
        <f t="shared" ref="F62:T62" si="24">F61/F69</f>
        <v>0.25441558441558437</v>
      </c>
      <c r="G62" s="172">
        <f t="shared" si="24"/>
        <v>0.22886075949367091</v>
      </c>
      <c r="H62" s="172">
        <f t="shared" si="24"/>
        <v>0.27985074626865669</v>
      </c>
      <c r="I62" s="172">
        <f t="shared" si="24"/>
        <v>0.2619872340425532</v>
      </c>
      <c r="J62" s="172">
        <f t="shared" si="24"/>
        <v>0.3083333333333334</v>
      </c>
      <c r="K62" s="172">
        <f t="shared" si="24"/>
        <v>0.18571428571428572</v>
      </c>
      <c r="L62" s="172">
        <f t="shared" si="24"/>
        <v>0.66300000000000003</v>
      </c>
      <c r="M62" s="172">
        <f t="shared" si="24"/>
        <v>0.35714285714285715</v>
      </c>
      <c r="N62" s="172">
        <f t="shared" si="24"/>
        <v>0.622</v>
      </c>
      <c r="O62" s="172">
        <f t="shared" si="24"/>
        <v>0.15274545454545452</v>
      </c>
      <c r="P62" s="172">
        <f t="shared" si="24"/>
        <v>0.24465454545454546</v>
      </c>
      <c r="Q62" s="172">
        <f t="shared" si="24"/>
        <v>0.19369999999999998</v>
      </c>
      <c r="R62" s="172">
        <f t="shared" si="24"/>
        <v>0.16919999999999999</v>
      </c>
      <c r="S62" s="172">
        <f t="shared" si="24"/>
        <v>0.36175999999999997</v>
      </c>
      <c r="T62" s="172">
        <f t="shared" si="24"/>
        <v>0.46916666666666668</v>
      </c>
    </row>
    <row r="63" spans="2:20" s="154" customFormat="1">
      <c r="B63" s="323" t="s">
        <v>272</v>
      </c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</row>
    <row r="64" spans="2:20" s="154" customFormat="1" ht="17.25" customHeight="1">
      <c r="B64" s="153" t="s">
        <v>270</v>
      </c>
      <c r="C64" s="315" t="s">
        <v>402</v>
      </c>
      <c r="D64" s="315"/>
      <c r="E64" s="153">
        <v>80</v>
      </c>
      <c r="F64" s="153">
        <v>5.95</v>
      </c>
      <c r="G64" s="153">
        <v>6.05</v>
      </c>
      <c r="H64" s="153">
        <v>38.22</v>
      </c>
      <c r="I64" s="153">
        <v>231.11</v>
      </c>
      <c r="J64" s="153">
        <v>0.06</v>
      </c>
      <c r="K64" s="153">
        <v>0.06</v>
      </c>
      <c r="L64" s="153">
        <v>0.02</v>
      </c>
      <c r="M64" s="153">
        <v>0.06</v>
      </c>
      <c r="N64" s="153"/>
      <c r="O64" s="153">
        <v>19.489999999999998</v>
      </c>
      <c r="P64" s="153">
        <v>55.89</v>
      </c>
      <c r="Q64" s="153"/>
      <c r="R64" s="153">
        <v>0</v>
      </c>
      <c r="S64" s="153">
        <v>8.27</v>
      </c>
      <c r="T64" s="153">
        <v>0.7</v>
      </c>
    </row>
    <row r="65" spans="2:20" s="154" customFormat="1" ht="18.75" customHeight="1">
      <c r="B65" s="146">
        <v>386</v>
      </c>
      <c r="C65" s="316" t="s">
        <v>273</v>
      </c>
      <c r="D65" s="316"/>
      <c r="E65" s="146">
        <v>200</v>
      </c>
      <c r="F65" s="146">
        <v>5.8</v>
      </c>
      <c r="G65" s="146">
        <v>5</v>
      </c>
      <c r="H65" s="146">
        <v>8</v>
      </c>
      <c r="I65" s="146">
        <v>100.2</v>
      </c>
      <c r="J65" s="146">
        <v>0.04</v>
      </c>
      <c r="K65" s="146">
        <v>0.26</v>
      </c>
      <c r="L65" s="146">
        <v>0.6</v>
      </c>
      <c r="M65" s="146">
        <v>0.04</v>
      </c>
      <c r="N65" s="146">
        <v>1E-3</v>
      </c>
      <c r="O65" s="146">
        <v>240</v>
      </c>
      <c r="P65" s="146">
        <v>184</v>
      </c>
      <c r="Q65" s="146">
        <v>0.4</v>
      </c>
      <c r="R65" s="146">
        <v>1E-3</v>
      </c>
      <c r="S65" s="146">
        <v>28</v>
      </c>
      <c r="T65" s="146">
        <v>0.2</v>
      </c>
    </row>
    <row r="66" spans="2:20" s="154" customFormat="1" ht="17.25" customHeight="1">
      <c r="B66" s="312" t="s">
        <v>274</v>
      </c>
      <c r="C66" s="313"/>
      <c r="D66" s="314"/>
      <c r="E66" s="164">
        <f>E65+E64</f>
        <v>280</v>
      </c>
      <c r="F66" s="164">
        <f t="shared" ref="F66:T66" si="25">F65+F64</f>
        <v>11.75</v>
      </c>
      <c r="G66" s="164">
        <f>G65+G64</f>
        <v>11.05</v>
      </c>
      <c r="H66" s="164">
        <f t="shared" si="25"/>
        <v>46.22</v>
      </c>
      <c r="I66" s="164">
        <f t="shared" si="25"/>
        <v>331.31</v>
      </c>
      <c r="J66" s="164">
        <f t="shared" si="25"/>
        <v>0.1</v>
      </c>
      <c r="K66" s="164">
        <f t="shared" si="25"/>
        <v>0.32</v>
      </c>
      <c r="L66" s="164">
        <f t="shared" si="25"/>
        <v>0.62</v>
      </c>
      <c r="M66" s="164">
        <f t="shared" si="25"/>
        <v>0.1</v>
      </c>
      <c r="N66" s="164">
        <f t="shared" si="25"/>
        <v>1E-3</v>
      </c>
      <c r="O66" s="164">
        <f t="shared" si="25"/>
        <v>259.49</v>
      </c>
      <c r="P66" s="164">
        <f t="shared" si="25"/>
        <v>239.89</v>
      </c>
      <c r="Q66" s="164">
        <f t="shared" si="25"/>
        <v>0.4</v>
      </c>
      <c r="R66" s="164">
        <f t="shared" si="25"/>
        <v>1E-3</v>
      </c>
      <c r="S66" s="164">
        <f t="shared" si="25"/>
        <v>36.269999999999996</v>
      </c>
      <c r="T66" s="164">
        <f t="shared" si="25"/>
        <v>0.89999999999999991</v>
      </c>
    </row>
    <row r="67" spans="2:20" s="154" customFormat="1" ht="15" customHeight="1">
      <c r="B67" s="311" t="s">
        <v>265</v>
      </c>
      <c r="C67" s="311"/>
      <c r="D67" s="311"/>
      <c r="E67" s="311"/>
      <c r="F67" s="172">
        <f t="shared" ref="F67:T67" si="26">F66/F69</f>
        <v>0.15259740259740259</v>
      </c>
      <c r="G67" s="172">
        <f t="shared" si="26"/>
        <v>0.13987341772151898</v>
      </c>
      <c r="H67" s="172">
        <f t="shared" si="26"/>
        <v>0.13797014925373133</v>
      </c>
      <c r="I67" s="172">
        <f t="shared" si="26"/>
        <v>0.14098297872340426</v>
      </c>
      <c r="J67" s="172">
        <f t="shared" si="26"/>
        <v>8.3333333333333343E-2</v>
      </c>
      <c r="K67" s="172">
        <f t="shared" si="26"/>
        <v>0.22857142857142859</v>
      </c>
      <c r="L67" s="172">
        <f t="shared" si="26"/>
        <v>1.0333333333333333E-2</v>
      </c>
      <c r="M67" s="172">
        <f t="shared" si="26"/>
        <v>0.14285714285714288</v>
      </c>
      <c r="N67" s="172">
        <f t="shared" si="26"/>
        <v>1E-4</v>
      </c>
      <c r="O67" s="172">
        <f t="shared" si="26"/>
        <v>0.2359</v>
      </c>
      <c r="P67" s="172">
        <f t="shared" si="26"/>
        <v>0.21808181818181818</v>
      </c>
      <c r="Q67" s="172">
        <f t="shared" si="26"/>
        <v>0.04</v>
      </c>
      <c r="R67" s="172">
        <f t="shared" si="26"/>
        <v>0.01</v>
      </c>
      <c r="S67" s="172">
        <f t="shared" si="26"/>
        <v>0.14507999999999999</v>
      </c>
      <c r="T67" s="172">
        <f t="shared" si="26"/>
        <v>7.4999999999999997E-2</v>
      </c>
    </row>
    <row r="68" spans="2:20" s="154" customFormat="1">
      <c r="B68" s="311" t="s">
        <v>275</v>
      </c>
      <c r="C68" s="311"/>
      <c r="D68" s="311"/>
      <c r="E68" s="311"/>
      <c r="F68" s="164">
        <f>F66+F61+F51</f>
        <v>51.839999999999996</v>
      </c>
      <c r="G68" s="164">
        <f t="shared" ref="G68:T68" si="27">G66+G61+G51</f>
        <v>47.620000000000005</v>
      </c>
      <c r="H68" s="164">
        <f t="shared" si="27"/>
        <v>225.56</v>
      </c>
      <c r="I68" s="164">
        <f t="shared" si="27"/>
        <v>1539.26</v>
      </c>
      <c r="J68" s="164">
        <f t="shared" si="27"/>
        <v>0.65900000000000003</v>
      </c>
      <c r="K68" s="164">
        <f t="shared" si="27"/>
        <v>0.89000000000000012</v>
      </c>
      <c r="L68" s="164">
        <f t="shared" si="27"/>
        <v>46.48</v>
      </c>
      <c r="M68" s="164">
        <f t="shared" si="27"/>
        <v>0.49299999999999999</v>
      </c>
      <c r="N68" s="164">
        <f t="shared" si="27"/>
        <v>7.0110000000000001</v>
      </c>
      <c r="O68" s="164">
        <f t="shared" si="27"/>
        <v>606.51</v>
      </c>
      <c r="P68" s="164">
        <f t="shared" si="27"/>
        <v>717.01</v>
      </c>
      <c r="Q68" s="164">
        <f t="shared" si="27"/>
        <v>6.0739999999999998</v>
      </c>
      <c r="R68" s="164">
        <f t="shared" si="27"/>
        <v>3.2920000000000005E-2</v>
      </c>
      <c r="S68" s="164">
        <f t="shared" si="27"/>
        <v>196.3</v>
      </c>
      <c r="T68" s="164">
        <f t="shared" si="27"/>
        <v>7.8599999999999994</v>
      </c>
    </row>
    <row r="69" spans="2:20" s="154" customFormat="1">
      <c r="B69" s="311" t="s">
        <v>276</v>
      </c>
      <c r="C69" s="311"/>
      <c r="D69" s="311"/>
      <c r="E69" s="311"/>
      <c r="F69" s="153">
        <v>77</v>
      </c>
      <c r="G69" s="153">
        <v>79</v>
      </c>
      <c r="H69" s="153">
        <v>335</v>
      </c>
      <c r="I69" s="153">
        <v>2350</v>
      </c>
      <c r="J69" s="153">
        <v>1.2</v>
      </c>
      <c r="K69" s="153">
        <v>1.4</v>
      </c>
      <c r="L69" s="153">
        <v>60</v>
      </c>
      <c r="M69" s="153">
        <v>0.7</v>
      </c>
      <c r="N69" s="153">
        <v>10</v>
      </c>
      <c r="O69" s="153">
        <v>1100</v>
      </c>
      <c r="P69" s="153">
        <v>1100</v>
      </c>
      <c r="Q69" s="153">
        <v>10</v>
      </c>
      <c r="R69" s="153">
        <v>0.1</v>
      </c>
      <c r="S69" s="153">
        <v>250</v>
      </c>
      <c r="T69" s="153">
        <v>12</v>
      </c>
    </row>
    <row r="70" spans="2:20" s="154" customFormat="1">
      <c r="B70" s="311" t="s">
        <v>265</v>
      </c>
      <c r="C70" s="311"/>
      <c r="D70" s="311"/>
      <c r="E70" s="311"/>
      <c r="F70" s="172">
        <f>F68/F69</f>
        <v>0.6732467532467532</v>
      </c>
      <c r="G70" s="172">
        <f t="shared" ref="G70:T70" si="28">G68/G69</f>
        <v>0.60278481012658236</v>
      </c>
      <c r="H70" s="172">
        <f t="shared" si="28"/>
        <v>0.6733134328358209</v>
      </c>
      <c r="I70" s="172">
        <f t="shared" si="28"/>
        <v>0.65500425531914896</v>
      </c>
      <c r="J70" s="172">
        <f t="shared" si="28"/>
        <v>0.54916666666666669</v>
      </c>
      <c r="K70" s="172">
        <f t="shared" si="28"/>
        <v>0.6357142857142859</v>
      </c>
      <c r="L70" s="172">
        <f t="shared" si="28"/>
        <v>0.77466666666666661</v>
      </c>
      <c r="M70" s="172">
        <f t="shared" si="28"/>
        <v>0.70428571428571429</v>
      </c>
      <c r="N70" s="172">
        <f t="shared" si="28"/>
        <v>0.70110000000000006</v>
      </c>
      <c r="O70" s="172">
        <f t="shared" si="28"/>
        <v>0.55137272727272724</v>
      </c>
      <c r="P70" s="172">
        <f t="shared" si="28"/>
        <v>0.6518272727272727</v>
      </c>
      <c r="Q70" s="172">
        <f t="shared" si="28"/>
        <v>0.60739999999999994</v>
      </c>
      <c r="R70" s="172">
        <f t="shared" si="28"/>
        <v>0.32920000000000005</v>
      </c>
      <c r="S70" s="172">
        <f t="shared" si="28"/>
        <v>0.78520000000000001</v>
      </c>
      <c r="T70" s="172">
        <f t="shared" si="28"/>
        <v>0.65499999999999992</v>
      </c>
    </row>
    <row r="71" spans="2:20" s="154" customFormat="1" ht="26.25" customHeight="1">
      <c r="B71" s="324" t="s">
        <v>289</v>
      </c>
      <c r="C71" s="324"/>
      <c r="D71" s="324"/>
      <c r="E71" s="324"/>
      <c r="F71" s="324"/>
      <c r="G71" s="324"/>
      <c r="H71" s="324"/>
      <c r="I71" s="324"/>
      <c r="J71" s="153"/>
      <c r="K71" s="153"/>
      <c r="L71" s="153"/>
      <c r="M71" s="324" t="s">
        <v>229</v>
      </c>
      <c r="N71" s="324"/>
      <c r="O71" s="324"/>
      <c r="P71" s="324"/>
      <c r="Q71" s="324"/>
      <c r="R71" s="324"/>
      <c r="S71" s="324"/>
      <c r="T71" s="324"/>
    </row>
    <row r="72" spans="2:20" s="154" customFormat="1">
      <c r="B72" s="153"/>
      <c r="C72" s="153"/>
      <c r="D72" s="164"/>
      <c r="E72" s="164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</row>
    <row r="73" spans="2:20">
      <c r="B73" s="317" t="s">
        <v>290</v>
      </c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</row>
    <row r="74" spans="2:20">
      <c r="B74" s="317" t="s">
        <v>291</v>
      </c>
      <c r="C74" s="317"/>
      <c r="D74" s="146"/>
      <c r="E74" s="146"/>
      <c r="F74" s="146"/>
      <c r="G74" s="319" t="s">
        <v>292</v>
      </c>
      <c r="H74" s="319"/>
      <c r="I74" s="319"/>
      <c r="J74" s="146"/>
      <c r="K74" s="146"/>
      <c r="L74" s="317" t="s">
        <v>233</v>
      </c>
      <c r="M74" s="317"/>
      <c r="N74" s="319" t="s">
        <v>234</v>
      </c>
      <c r="O74" s="319"/>
      <c r="P74" s="319"/>
      <c r="Q74" s="319"/>
      <c r="R74" s="146"/>
      <c r="S74" s="146"/>
      <c r="T74" s="146"/>
    </row>
    <row r="75" spans="2:20">
      <c r="B75" s="146"/>
      <c r="C75" s="146"/>
      <c r="D75" s="146"/>
      <c r="E75" s="317" t="s">
        <v>235</v>
      </c>
      <c r="F75" s="317"/>
      <c r="G75" s="146">
        <v>1</v>
      </c>
      <c r="H75" s="146"/>
      <c r="I75" s="146"/>
      <c r="J75" s="146"/>
      <c r="K75" s="146"/>
      <c r="L75" s="317" t="s">
        <v>236</v>
      </c>
      <c r="M75" s="317"/>
      <c r="N75" s="319" t="s">
        <v>237</v>
      </c>
      <c r="O75" s="319"/>
      <c r="P75" s="319"/>
      <c r="Q75" s="319"/>
      <c r="R75" s="319"/>
      <c r="S75" s="319"/>
      <c r="T75" s="319"/>
    </row>
    <row r="76" spans="2:20">
      <c r="B76" s="149" t="s">
        <v>279</v>
      </c>
      <c r="C76" s="321" t="s">
        <v>239</v>
      </c>
      <c r="D76" s="321"/>
      <c r="E76" s="321" t="s">
        <v>240</v>
      </c>
      <c r="F76" s="321" t="s">
        <v>241</v>
      </c>
      <c r="G76" s="321"/>
      <c r="H76" s="321"/>
      <c r="I76" s="149" t="s">
        <v>242</v>
      </c>
      <c r="J76" s="321" t="s">
        <v>244</v>
      </c>
      <c r="K76" s="321"/>
      <c r="L76" s="321"/>
      <c r="M76" s="321"/>
      <c r="N76" s="321"/>
      <c r="O76" s="321" t="s">
        <v>245</v>
      </c>
      <c r="P76" s="321"/>
      <c r="Q76" s="321"/>
      <c r="R76" s="321"/>
      <c r="S76" s="321"/>
      <c r="T76" s="321"/>
    </row>
    <row r="77" spans="2:20" ht="51">
      <c r="B77" s="149" t="s">
        <v>280</v>
      </c>
      <c r="C77" s="321"/>
      <c r="D77" s="321"/>
      <c r="E77" s="321"/>
      <c r="F77" s="149" t="s">
        <v>246</v>
      </c>
      <c r="G77" s="149" t="s">
        <v>247</v>
      </c>
      <c r="H77" s="149" t="s">
        <v>248</v>
      </c>
      <c r="I77" s="149" t="s">
        <v>243</v>
      </c>
      <c r="J77" s="149" t="s">
        <v>249</v>
      </c>
      <c r="K77" s="149" t="s">
        <v>250</v>
      </c>
      <c r="L77" s="149" t="s">
        <v>251</v>
      </c>
      <c r="M77" s="149" t="s">
        <v>252</v>
      </c>
      <c r="N77" s="149" t="s">
        <v>253</v>
      </c>
      <c r="O77" s="149" t="s">
        <v>254</v>
      </c>
      <c r="P77" s="149" t="s">
        <v>255</v>
      </c>
      <c r="Q77" s="149" t="s">
        <v>256</v>
      </c>
      <c r="R77" s="149" t="s">
        <v>257</v>
      </c>
      <c r="S77" s="149" t="s">
        <v>258</v>
      </c>
      <c r="T77" s="149" t="s">
        <v>259</v>
      </c>
    </row>
    <row r="78" spans="2:20">
      <c r="B78" s="150">
        <v>1</v>
      </c>
      <c r="C78" s="318">
        <v>2</v>
      </c>
      <c r="D78" s="318"/>
      <c r="E78" s="150">
        <v>3</v>
      </c>
      <c r="F78" s="150">
        <v>4</v>
      </c>
      <c r="G78" s="150">
        <v>5</v>
      </c>
      <c r="H78" s="150">
        <v>6</v>
      </c>
      <c r="I78" s="150">
        <v>7</v>
      </c>
      <c r="J78" s="150">
        <v>8</v>
      </c>
      <c r="K78" s="150">
        <v>9</v>
      </c>
      <c r="L78" s="150">
        <v>10</v>
      </c>
      <c r="M78" s="150">
        <v>11</v>
      </c>
      <c r="N78" s="150">
        <v>12</v>
      </c>
      <c r="O78" s="150">
        <v>13</v>
      </c>
      <c r="P78" s="150">
        <v>14</v>
      </c>
      <c r="Q78" s="150">
        <v>15</v>
      </c>
      <c r="R78" s="150">
        <v>16</v>
      </c>
      <c r="S78" s="150">
        <v>17</v>
      </c>
      <c r="T78" s="150">
        <v>18</v>
      </c>
    </row>
    <row r="79" spans="2:20">
      <c r="B79" s="317" t="s">
        <v>260</v>
      </c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</row>
    <row r="80" spans="2:20" ht="18.75" customHeight="1">
      <c r="B80" s="146">
        <v>59</v>
      </c>
      <c r="C80" s="316" t="s">
        <v>293</v>
      </c>
      <c r="D80" s="316"/>
      <c r="E80" s="146">
        <v>60</v>
      </c>
      <c r="F80" s="146">
        <v>0.64</v>
      </c>
      <c r="G80" s="146">
        <v>0.1</v>
      </c>
      <c r="H80" s="146">
        <v>5.1100000000000003</v>
      </c>
      <c r="I80" s="146">
        <v>23.9</v>
      </c>
      <c r="J80" s="146">
        <v>0.03</v>
      </c>
      <c r="K80" s="146">
        <v>0.02</v>
      </c>
      <c r="L80" s="146">
        <v>2.63</v>
      </c>
      <c r="M80" s="146">
        <v>0.02</v>
      </c>
      <c r="N80" s="146">
        <v>1.494</v>
      </c>
      <c r="O80" s="146">
        <v>14.4</v>
      </c>
      <c r="P80" s="146">
        <v>20.39</v>
      </c>
      <c r="Q80" s="146">
        <v>0.13</v>
      </c>
      <c r="R80" s="146">
        <v>1E-3</v>
      </c>
      <c r="S80" s="146">
        <v>6.6</v>
      </c>
      <c r="T80" s="146">
        <v>0.64</v>
      </c>
    </row>
    <row r="81" spans="2:20" ht="18.75" customHeight="1">
      <c r="B81" s="146" t="s">
        <v>348</v>
      </c>
      <c r="C81" s="316" t="s">
        <v>416</v>
      </c>
      <c r="D81" s="316"/>
      <c r="E81" s="146">
        <v>100</v>
      </c>
      <c r="F81" s="146">
        <v>0.4</v>
      </c>
      <c r="G81" s="146">
        <v>0.4</v>
      </c>
      <c r="H81" s="146">
        <v>9.8000000000000007</v>
      </c>
      <c r="I81" s="146">
        <v>42</v>
      </c>
      <c r="J81" s="146">
        <v>0.04</v>
      </c>
      <c r="K81" s="146">
        <v>0.02</v>
      </c>
      <c r="L81" s="146">
        <v>10</v>
      </c>
      <c r="M81" s="146">
        <v>0</v>
      </c>
      <c r="N81" s="146">
        <v>0.2</v>
      </c>
      <c r="O81" s="146">
        <v>16</v>
      </c>
      <c r="P81" s="146">
        <v>11</v>
      </c>
      <c r="Q81" s="146">
        <v>0</v>
      </c>
      <c r="R81" s="146">
        <v>0</v>
      </c>
      <c r="S81" s="146">
        <v>9</v>
      </c>
      <c r="T81" s="146">
        <v>2.2000000000000002</v>
      </c>
    </row>
    <row r="82" spans="2:20" ht="15" customHeight="1">
      <c r="B82" s="143" t="s">
        <v>327</v>
      </c>
      <c r="C82" s="326" t="s">
        <v>328</v>
      </c>
      <c r="D82" s="326"/>
      <c r="E82" s="146">
        <v>30</v>
      </c>
      <c r="F82" s="146">
        <v>0.15</v>
      </c>
      <c r="G82" s="146">
        <v>0</v>
      </c>
      <c r="H82" s="146">
        <v>17.850000000000001</v>
      </c>
      <c r="I82" s="146">
        <v>71.7</v>
      </c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</row>
    <row r="83" spans="2:20" ht="19.5" customHeight="1">
      <c r="B83" s="146" t="s">
        <v>333</v>
      </c>
      <c r="C83" s="316" t="s">
        <v>332</v>
      </c>
      <c r="D83" s="316"/>
      <c r="E83" s="146">
        <v>170</v>
      </c>
      <c r="F83" s="146">
        <v>29.02</v>
      </c>
      <c r="G83" s="146">
        <v>18.239999999999998</v>
      </c>
      <c r="H83" s="146">
        <v>28.34</v>
      </c>
      <c r="I83" s="146">
        <v>394.18</v>
      </c>
      <c r="J83" s="146">
        <v>7.0000000000000007E-2</v>
      </c>
      <c r="K83" s="146">
        <v>0.36</v>
      </c>
      <c r="L83" s="146">
        <v>0.32</v>
      </c>
      <c r="M83" s="146">
        <v>7.0000000000000007E-2</v>
      </c>
      <c r="N83" s="146"/>
      <c r="O83" s="146">
        <v>240.26</v>
      </c>
      <c r="P83" s="146">
        <v>328.66</v>
      </c>
      <c r="Q83" s="146"/>
      <c r="R83" s="146">
        <v>0.03</v>
      </c>
      <c r="S83" s="146">
        <v>36.26</v>
      </c>
      <c r="T83" s="146">
        <v>1.02</v>
      </c>
    </row>
    <row r="84" spans="2:20">
      <c r="B84" s="146">
        <v>376</v>
      </c>
      <c r="C84" s="316" t="s">
        <v>57</v>
      </c>
      <c r="D84" s="316"/>
      <c r="E84" s="146">
        <v>200</v>
      </c>
      <c r="F84" s="146">
        <v>0.2</v>
      </c>
      <c r="G84" s="146">
        <v>0.05</v>
      </c>
      <c r="H84" s="146">
        <v>15.01</v>
      </c>
      <c r="I84" s="146">
        <v>61</v>
      </c>
      <c r="J84" s="146">
        <v>0</v>
      </c>
      <c r="K84" s="146">
        <v>0.01</v>
      </c>
      <c r="L84" s="146">
        <v>9</v>
      </c>
      <c r="M84" s="146">
        <v>1E-4</v>
      </c>
      <c r="N84" s="146">
        <v>4.4999999999999998E-2</v>
      </c>
      <c r="O84" s="146">
        <v>5.25</v>
      </c>
      <c r="P84" s="146">
        <v>8.24</v>
      </c>
      <c r="Q84" s="146">
        <v>8.0000000000000002E-3</v>
      </c>
      <c r="R84" s="146">
        <v>0</v>
      </c>
      <c r="S84" s="146">
        <v>4.4000000000000004</v>
      </c>
      <c r="T84" s="146">
        <v>0.87</v>
      </c>
    </row>
    <row r="85" spans="2:20" ht="21" customHeight="1">
      <c r="B85" s="146" t="s">
        <v>270</v>
      </c>
      <c r="C85" s="316" t="s">
        <v>326</v>
      </c>
      <c r="D85" s="316"/>
      <c r="E85" s="146">
        <v>40</v>
      </c>
      <c r="F85" s="146">
        <v>2.67</v>
      </c>
      <c r="G85" s="146">
        <v>0.53</v>
      </c>
      <c r="H85" s="146">
        <v>13.73</v>
      </c>
      <c r="I85" s="146">
        <v>70.400000000000006</v>
      </c>
      <c r="J85" s="146">
        <v>0.13</v>
      </c>
      <c r="K85" s="146">
        <v>1.2999999999999999E-2</v>
      </c>
      <c r="L85" s="146">
        <v>0.1</v>
      </c>
      <c r="M85" s="146">
        <v>0</v>
      </c>
      <c r="N85" s="146">
        <v>0.93300000000000005</v>
      </c>
      <c r="O85" s="146">
        <v>14</v>
      </c>
      <c r="P85" s="146">
        <v>63.2</v>
      </c>
      <c r="Q85" s="146">
        <v>1.2999999999999999E-2</v>
      </c>
      <c r="R85" s="146">
        <v>4.0000000000000001E-3</v>
      </c>
      <c r="S85" s="146">
        <v>18.8</v>
      </c>
      <c r="T85" s="146">
        <v>1.6</v>
      </c>
    </row>
    <row r="86" spans="2:20">
      <c r="B86" s="317" t="s">
        <v>264</v>
      </c>
      <c r="C86" s="317"/>
      <c r="D86" s="317"/>
      <c r="E86" s="147">
        <f>E80+E82+E83+E84+E85</f>
        <v>500</v>
      </c>
      <c r="F86" s="147">
        <f>F80+F82+F83+F84+F85</f>
        <v>32.68</v>
      </c>
      <c r="G86" s="147">
        <f t="shared" ref="G86:T86" si="29">G80+G82+G83+G84+G85</f>
        <v>18.920000000000002</v>
      </c>
      <c r="H86" s="147">
        <f t="shared" si="29"/>
        <v>80.040000000000006</v>
      </c>
      <c r="I86" s="147">
        <f t="shared" si="29"/>
        <v>621.17999999999995</v>
      </c>
      <c r="J86" s="147">
        <f t="shared" si="29"/>
        <v>0.23</v>
      </c>
      <c r="K86" s="147">
        <f t="shared" si="29"/>
        <v>0.40300000000000002</v>
      </c>
      <c r="L86" s="147">
        <f t="shared" si="29"/>
        <v>12.049999999999999</v>
      </c>
      <c r="M86" s="147">
        <f t="shared" si="29"/>
        <v>9.0100000000000013E-2</v>
      </c>
      <c r="N86" s="147">
        <f t="shared" si="29"/>
        <v>2.472</v>
      </c>
      <c r="O86" s="147">
        <f t="shared" si="29"/>
        <v>273.90999999999997</v>
      </c>
      <c r="P86" s="147">
        <f t="shared" si="29"/>
        <v>420.49</v>
      </c>
      <c r="Q86" s="147">
        <f t="shared" si="29"/>
        <v>0.15100000000000002</v>
      </c>
      <c r="R86" s="147">
        <f t="shared" si="29"/>
        <v>3.5000000000000003E-2</v>
      </c>
      <c r="S86" s="147">
        <f t="shared" si="29"/>
        <v>66.06</v>
      </c>
      <c r="T86" s="147">
        <f t="shared" si="29"/>
        <v>4.1300000000000008</v>
      </c>
    </row>
    <row r="87" spans="2:20">
      <c r="B87" s="317" t="s">
        <v>265</v>
      </c>
      <c r="C87" s="317"/>
      <c r="D87" s="317"/>
      <c r="E87" s="317"/>
      <c r="F87" s="142">
        <f t="shared" ref="F87:T87" si="30">F86/F104</f>
        <v>0.42441558441558441</v>
      </c>
      <c r="G87" s="142">
        <f t="shared" si="30"/>
        <v>0.23949367088607598</v>
      </c>
      <c r="H87" s="142">
        <f t="shared" si="30"/>
        <v>0.23892537313432838</v>
      </c>
      <c r="I87" s="142">
        <f t="shared" si="30"/>
        <v>0.26433191489361701</v>
      </c>
      <c r="J87" s="142">
        <f t="shared" si="30"/>
        <v>0.19166666666666668</v>
      </c>
      <c r="K87" s="142">
        <f t="shared" si="30"/>
        <v>0.28785714285714287</v>
      </c>
      <c r="L87" s="142">
        <f t="shared" si="30"/>
        <v>0.20083333333333331</v>
      </c>
      <c r="M87" s="142">
        <f t="shared" si="30"/>
        <v>0.12871428571428575</v>
      </c>
      <c r="N87" s="142">
        <f t="shared" si="30"/>
        <v>0.2472</v>
      </c>
      <c r="O87" s="142">
        <f t="shared" si="30"/>
        <v>0.24900909090909087</v>
      </c>
      <c r="P87" s="142">
        <f t="shared" si="30"/>
        <v>0.38226363636363636</v>
      </c>
      <c r="Q87" s="142">
        <f t="shared" si="30"/>
        <v>1.5100000000000002E-2</v>
      </c>
      <c r="R87" s="142">
        <f t="shared" si="30"/>
        <v>0.35000000000000003</v>
      </c>
      <c r="S87" s="142">
        <f t="shared" si="30"/>
        <v>0.26424000000000003</v>
      </c>
      <c r="T87" s="142">
        <f t="shared" si="30"/>
        <v>0.34416666666666673</v>
      </c>
    </row>
    <row r="88" spans="2:20">
      <c r="B88" s="317" t="s">
        <v>266</v>
      </c>
      <c r="C88" s="317"/>
      <c r="D88" s="317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</row>
    <row r="89" spans="2:20" ht="17.25" customHeight="1">
      <c r="B89" s="146" t="s">
        <v>339</v>
      </c>
      <c r="C89" s="316" t="s">
        <v>340</v>
      </c>
      <c r="D89" s="316"/>
      <c r="E89" s="146">
        <v>60</v>
      </c>
      <c r="F89" s="146">
        <v>0.5</v>
      </c>
      <c r="G89" s="146">
        <v>3.02</v>
      </c>
      <c r="H89" s="146">
        <v>1.1000000000000001</v>
      </c>
      <c r="I89" s="146">
        <v>33.6</v>
      </c>
      <c r="J89" s="146">
        <v>0.09</v>
      </c>
      <c r="K89" s="146">
        <v>0.02</v>
      </c>
      <c r="L89" s="146">
        <v>4.25</v>
      </c>
      <c r="M89" s="146">
        <v>0.09</v>
      </c>
      <c r="N89" s="146"/>
      <c r="O89" s="146">
        <v>20.38</v>
      </c>
      <c r="P89" s="146">
        <v>13.93</v>
      </c>
      <c r="Q89" s="146"/>
      <c r="R89" s="146">
        <v>0</v>
      </c>
      <c r="S89" s="146">
        <v>8.35</v>
      </c>
      <c r="T89" s="146">
        <v>0.38</v>
      </c>
    </row>
    <row r="90" spans="2:20" ht="27" customHeight="1">
      <c r="B90" s="146">
        <v>24</v>
      </c>
      <c r="C90" s="316" t="s">
        <v>294</v>
      </c>
      <c r="D90" s="316"/>
      <c r="E90" s="146">
        <v>60</v>
      </c>
      <c r="F90" s="146">
        <v>0.3</v>
      </c>
      <c r="G90" s="146">
        <v>2</v>
      </c>
      <c r="H90" s="146">
        <v>1.6</v>
      </c>
      <c r="I90" s="146">
        <v>25.6</v>
      </c>
      <c r="J90" s="146">
        <v>0.06</v>
      </c>
      <c r="K90" s="146">
        <v>0.04</v>
      </c>
      <c r="L90" s="146">
        <v>12.4</v>
      </c>
      <c r="M90" s="146">
        <v>0</v>
      </c>
      <c r="N90" s="146">
        <v>1.5</v>
      </c>
      <c r="O90" s="146">
        <v>28.2</v>
      </c>
      <c r="P90" s="146">
        <v>32.299999999999997</v>
      </c>
      <c r="Q90" s="146">
        <v>0.3</v>
      </c>
      <c r="R90" s="146">
        <v>0</v>
      </c>
      <c r="S90" s="146">
        <v>18.600000000000001</v>
      </c>
      <c r="T90" s="146">
        <v>0.5</v>
      </c>
    </row>
    <row r="91" spans="2:20" ht="16.5" customHeight="1">
      <c r="B91" s="146">
        <v>110</v>
      </c>
      <c r="C91" s="316" t="s">
        <v>217</v>
      </c>
      <c r="D91" s="316"/>
      <c r="E91" s="146">
        <v>200</v>
      </c>
      <c r="F91" s="146">
        <v>1.28</v>
      </c>
      <c r="G91" s="146">
        <v>3.84</v>
      </c>
      <c r="H91" s="146">
        <v>8.98</v>
      </c>
      <c r="I91" s="146">
        <v>75</v>
      </c>
      <c r="J91" s="146">
        <v>0.04</v>
      </c>
      <c r="K91" s="146">
        <v>0.04</v>
      </c>
      <c r="L91" s="146">
        <v>6.1</v>
      </c>
      <c r="M91" s="146">
        <v>0.04</v>
      </c>
      <c r="N91" s="146"/>
      <c r="O91" s="146">
        <v>22.26</v>
      </c>
      <c r="P91" s="146">
        <v>0</v>
      </c>
      <c r="Q91" s="146"/>
      <c r="R91" s="146">
        <v>0</v>
      </c>
      <c r="S91" s="146">
        <v>15.58</v>
      </c>
      <c r="T91" s="146">
        <v>0.72</v>
      </c>
    </row>
    <row r="92" spans="2:20" ht="18" customHeight="1">
      <c r="B92" s="146">
        <v>291</v>
      </c>
      <c r="C92" s="316" t="s">
        <v>295</v>
      </c>
      <c r="D92" s="316"/>
      <c r="E92" s="146">
        <v>240</v>
      </c>
      <c r="F92" s="146">
        <v>22.36</v>
      </c>
      <c r="G92" s="146">
        <v>26.14</v>
      </c>
      <c r="H92" s="146">
        <v>47.23</v>
      </c>
      <c r="I92" s="146">
        <v>513.6</v>
      </c>
      <c r="J92" s="146">
        <v>0.82</v>
      </c>
      <c r="K92" s="146">
        <v>0.79</v>
      </c>
      <c r="L92" s="146">
        <v>4.3</v>
      </c>
      <c r="M92" s="146">
        <v>0.46</v>
      </c>
      <c r="N92" s="146">
        <v>0</v>
      </c>
      <c r="O92" s="146">
        <v>44.29</v>
      </c>
      <c r="P92" s="146">
        <v>301.66000000000003</v>
      </c>
      <c r="Q92" s="146">
        <v>0</v>
      </c>
      <c r="R92" s="146">
        <v>0</v>
      </c>
      <c r="S92" s="146">
        <v>64.39</v>
      </c>
      <c r="T92" s="146">
        <v>2.77</v>
      </c>
    </row>
    <row r="93" spans="2:20" ht="18.75" customHeight="1">
      <c r="B93" s="146">
        <v>342</v>
      </c>
      <c r="C93" s="316" t="s">
        <v>296</v>
      </c>
      <c r="D93" s="316"/>
      <c r="E93" s="146">
        <v>200</v>
      </c>
      <c r="F93" s="146">
        <v>0.16</v>
      </c>
      <c r="G93" s="146">
        <v>0.16</v>
      </c>
      <c r="H93" s="146">
        <v>27.9</v>
      </c>
      <c r="I93" s="146">
        <v>113.6</v>
      </c>
      <c r="J93" s="146">
        <v>0.01</v>
      </c>
      <c r="K93" s="146">
        <v>0.01</v>
      </c>
      <c r="L93" s="146">
        <v>6.6</v>
      </c>
      <c r="M93" s="146">
        <v>0.01</v>
      </c>
      <c r="N93" s="146">
        <v>0.4</v>
      </c>
      <c r="O93" s="146">
        <v>6.88</v>
      </c>
      <c r="P93" s="146">
        <v>4.4000000000000004</v>
      </c>
      <c r="Q93" s="146">
        <v>0.08</v>
      </c>
      <c r="R93" s="146">
        <v>0.01</v>
      </c>
      <c r="S93" s="146">
        <v>3.6</v>
      </c>
      <c r="T93" s="146">
        <v>0.95</v>
      </c>
    </row>
    <row r="94" spans="2:20" ht="18" customHeight="1">
      <c r="B94" s="146" t="s">
        <v>270</v>
      </c>
      <c r="C94" s="316" t="s">
        <v>135</v>
      </c>
      <c r="D94" s="316"/>
      <c r="E94" s="146">
        <v>40</v>
      </c>
      <c r="F94" s="146">
        <v>2.64</v>
      </c>
      <c r="G94" s="146">
        <v>0.48</v>
      </c>
      <c r="H94" s="146">
        <v>13.68</v>
      </c>
      <c r="I94" s="146">
        <v>69.599999999999994</v>
      </c>
      <c r="J94" s="146">
        <v>0.08</v>
      </c>
      <c r="K94" s="146">
        <v>0.04</v>
      </c>
      <c r="L94" s="146">
        <v>0</v>
      </c>
      <c r="M94" s="146">
        <v>0</v>
      </c>
      <c r="N94" s="146">
        <v>2.4</v>
      </c>
      <c r="O94" s="146">
        <v>14</v>
      </c>
      <c r="P94" s="146">
        <v>63.2</v>
      </c>
      <c r="Q94" s="146">
        <v>1.2</v>
      </c>
      <c r="R94" s="146">
        <v>1E-3</v>
      </c>
      <c r="S94" s="146">
        <v>9.4</v>
      </c>
      <c r="T94" s="146">
        <v>0.78</v>
      </c>
    </row>
    <row r="95" spans="2:20" ht="18" customHeight="1">
      <c r="B95" s="146" t="s">
        <v>270</v>
      </c>
      <c r="C95" s="316" t="s">
        <v>35</v>
      </c>
      <c r="D95" s="316"/>
      <c r="E95" s="146">
        <v>30</v>
      </c>
      <c r="F95" s="146">
        <v>1.52</v>
      </c>
      <c r="G95" s="146">
        <v>0.16</v>
      </c>
      <c r="H95" s="146">
        <v>9.84</v>
      </c>
      <c r="I95" s="146">
        <v>46.9</v>
      </c>
      <c r="J95" s="146">
        <v>0.02</v>
      </c>
      <c r="K95" s="146">
        <v>0.01</v>
      </c>
      <c r="L95" s="146">
        <v>0.44</v>
      </c>
      <c r="M95" s="146">
        <v>0</v>
      </c>
      <c r="N95" s="146">
        <v>0.7</v>
      </c>
      <c r="O95" s="146">
        <v>4</v>
      </c>
      <c r="P95" s="146">
        <v>13</v>
      </c>
      <c r="Q95" s="146">
        <v>8.0000000000000002E-3</v>
      </c>
      <c r="R95" s="146">
        <v>1E-3</v>
      </c>
      <c r="S95" s="146">
        <v>0</v>
      </c>
      <c r="T95" s="146">
        <v>0.22</v>
      </c>
    </row>
    <row r="96" spans="2:20" ht="25.5" customHeight="1">
      <c r="B96" s="317" t="s">
        <v>271</v>
      </c>
      <c r="C96" s="317"/>
      <c r="D96" s="317"/>
      <c r="E96" s="147">
        <f>SUM(E90:E95)</f>
        <v>770</v>
      </c>
      <c r="F96" s="147">
        <f t="shared" ref="F96:T96" si="31">SUM(F90:F95)</f>
        <v>28.259999999999998</v>
      </c>
      <c r="G96" s="147">
        <f t="shared" si="31"/>
        <v>32.779999999999994</v>
      </c>
      <c r="H96" s="147">
        <f t="shared" si="31"/>
        <v>109.22999999999999</v>
      </c>
      <c r="I96" s="147">
        <f t="shared" si="31"/>
        <v>844.30000000000007</v>
      </c>
      <c r="J96" s="147">
        <f t="shared" si="31"/>
        <v>1.03</v>
      </c>
      <c r="K96" s="147">
        <f t="shared" si="31"/>
        <v>0.93</v>
      </c>
      <c r="L96" s="147">
        <f t="shared" si="31"/>
        <v>29.84</v>
      </c>
      <c r="M96" s="147">
        <f t="shared" si="31"/>
        <v>0.51</v>
      </c>
      <c r="N96" s="147">
        <f t="shared" si="31"/>
        <v>5</v>
      </c>
      <c r="O96" s="147">
        <f t="shared" si="31"/>
        <v>119.63</v>
      </c>
      <c r="P96" s="147">
        <f t="shared" si="31"/>
        <v>414.56</v>
      </c>
      <c r="Q96" s="147">
        <f t="shared" si="31"/>
        <v>1.5880000000000001</v>
      </c>
      <c r="R96" s="147">
        <f t="shared" si="31"/>
        <v>1.2E-2</v>
      </c>
      <c r="S96" s="147">
        <f t="shared" si="31"/>
        <v>111.57</v>
      </c>
      <c r="T96" s="147">
        <f t="shared" si="31"/>
        <v>5.94</v>
      </c>
    </row>
    <row r="97" spans="2:20">
      <c r="B97" s="317" t="s">
        <v>265</v>
      </c>
      <c r="C97" s="317"/>
      <c r="D97" s="317"/>
      <c r="E97" s="317"/>
      <c r="F97" s="142">
        <f t="shared" ref="F97:T97" si="32">F96/F104</f>
        <v>0.36701298701298701</v>
      </c>
      <c r="G97" s="142">
        <f t="shared" si="32"/>
        <v>0.4149367088607594</v>
      </c>
      <c r="H97" s="142">
        <f t="shared" si="32"/>
        <v>0.32605970149253727</v>
      </c>
      <c r="I97" s="142">
        <f t="shared" si="32"/>
        <v>0.3592765957446809</v>
      </c>
      <c r="J97" s="142">
        <f t="shared" si="32"/>
        <v>0.85833333333333339</v>
      </c>
      <c r="K97" s="142">
        <f t="shared" si="32"/>
        <v>0.66428571428571437</v>
      </c>
      <c r="L97" s="142">
        <f t="shared" si="32"/>
        <v>0.49733333333333335</v>
      </c>
      <c r="M97" s="145">
        <f t="shared" si="32"/>
        <v>0.72857142857142865</v>
      </c>
      <c r="N97" s="142">
        <f t="shared" si="32"/>
        <v>0.5</v>
      </c>
      <c r="O97" s="142">
        <f t="shared" si="32"/>
        <v>0.10875454545454545</v>
      </c>
      <c r="P97" s="142">
        <f t="shared" si="32"/>
        <v>0.37687272727272725</v>
      </c>
      <c r="Q97" s="142">
        <f t="shared" si="32"/>
        <v>0.1588</v>
      </c>
      <c r="R97" s="142">
        <f t="shared" si="32"/>
        <v>0.12</v>
      </c>
      <c r="S97" s="142">
        <f t="shared" si="32"/>
        <v>0.44627999999999995</v>
      </c>
      <c r="T97" s="142">
        <f t="shared" si="32"/>
        <v>0.49500000000000005</v>
      </c>
    </row>
    <row r="98" spans="2:20">
      <c r="B98" s="323" t="s">
        <v>272</v>
      </c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</row>
    <row r="99" spans="2:20" ht="16.5" customHeight="1">
      <c r="B99" s="153" t="s">
        <v>270</v>
      </c>
      <c r="C99" s="315" t="s">
        <v>403</v>
      </c>
      <c r="D99" s="315"/>
      <c r="E99" s="153">
        <v>100</v>
      </c>
      <c r="F99" s="153">
        <v>13.08</v>
      </c>
      <c r="G99" s="153">
        <v>6.06</v>
      </c>
      <c r="H99" s="153">
        <v>49.58</v>
      </c>
      <c r="I99" s="153">
        <v>306</v>
      </c>
      <c r="J99" s="153">
        <v>0.14000000000000001</v>
      </c>
      <c r="K99" s="153">
        <v>0.18</v>
      </c>
      <c r="L99" s="153">
        <v>0.18</v>
      </c>
      <c r="M99" s="153">
        <v>0.14000000000000001</v>
      </c>
      <c r="N99" s="153"/>
      <c r="O99" s="153">
        <v>75.8</v>
      </c>
      <c r="P99" s="153">
        <v>140</v>
      </c>
      <c r="Q99" s="153"/>
      <c r="R99" s="153">
        <v>0</v>
      </c>
      <c r="S99" s="153">
        <v>34.6</v>
      </c>
      <c r="T99" s="153">
        <v>1.52</v>
      </c>
    </row>
    <row r="100" spans="2:20" ht="17.25" customHeight="1">
      <c r="B100" s="146">
        <v>377</v>
      </c>
      <c r="C100" s="316" t="s">
        <v>70</v>
      </c>
      <c r="D100" s="316"/>
      <c r="E100" s="146" t="s">
        <v>269</v>
      </c>
      <c r="F100" s="146">
        <v>0.26</v>
      </c>
      <c r="G100" s="146">
        <v>0.06</v>
      </c>
      <c r="H100" s="146">
        <v>15.22</v>
      </c>
      <c r="I100" s="146">
        <v>62.5</v>
      </c>
      <c r="J100" s="146"/>
      <c r="K100" s="146">
        <v>0.01</v>
      </c>
      <c r="L100" s="146">
        <v>2.9</v>
      </c>
      <c r="M100" s="146">
        <v>0</v>
      </c>
      <c r="N100" s="146">
        <v>0.06</v>
      </c>
      <c r="O100" s="146">
        <v>8.0500000000000007</v>
      </c>
      <c r="P100" s="146">
        <v>9.7799999999999994</v>
      </c>
      <c r="Q100" s="146">
        <v>0.02</v>
      </c>
      <c r="R100" s="146">
        <v>0</v>
      </c>
      <c r="S100" s="146">
        <v>5.24</v>
      </c>
      <c r="T100" s="146">
        <v>0.87</v>
      </c>
    </row>
    <row r="101" spans="2:20" ht="15" customHeight="1">
      <c r="B101" s="169" t="s">
        <v>274</v>
      </c>
      <c r="C101" s="170"/>
      <c r="D101" s="171"/>
      <c r="E101" s="164">
        <f>E99+204</f>
        <v>304</v>
      </c>
      <c r="F101" s="164">
        <f>F99+F100</f>
        <v>13.34</v>
      </c>
      <c r="G101" s="164">
        <f t="shared" ref="G101:T101" si="33">G99+G100</f>
        <v>6.1199999999999992</v>
      </c>
      <c r="H101" s="164">
        <f t="shared" si="33"/>
        <v>64.8</v>
      </c>
      <c r="I101" s="164">
        <f t="shared" si="33"/>
        <v>368.5</v>
      </c>
      <c r="J101" s="164">
        <f t="shared" si="33"/>
        <v>0.14000000000000001</v>
      </c>
      <c r="K101" s="164">
        <f t="shared" si="33"/>
        <v>0.19</v>
      </c>
      <c r="L101" s="164">
        <f t="shared" si="33"/>
        <v>3.08</v>
      </c>
      <c r="M101" s="164">
        <f t="shared" si="33"/>
        <v>0.14000000000000001</v>
      </c>
      <c r="N101" s="164">
        <f t="shared" si="33"/>
        <v>0.06</v>
      </c>
      <c r="O101" s="164">
        <f t="shared" si="33"/>
        <v>83.85</v>
      </c>
      <c r="P101" s="164">
        <f t="shared" si="33"/>
        <v>149.78</v>
      </c>
      <c r="Q101" s="164">
        <f t="shared" si="33"/>
        <v>0.02</v>
      </c>
      <c r="R101" s="164">
        <f t="shared" si="33"/>
        <v>0</v>
      </c>
      <c r="S101" s="164">
        <f t="shared" si="33"/>
        <v>39.840000000000003</v>
      </c>
      <c r="T101" s="164">
        <f t="shared" si="33"/>
        <v>2.39</v>
      </c>
    </row>
    <row r="102" spans="2:20" ht="15" customHeight="1">
      <c r="B102" s="311" t="s">
        <v>265</v>
      </c>
      <c r="C102" s="311"/>
      <c r="D102" s="311"/>
      <c r="E102" s="311"/>
      <c r="F102" s="172">
        <f>F101/F104</f>
        <v>0.17324675324675323</v>
      </c>
      <c r="G102" s="172">
        <f t="shared" ref="G102:T102" si="34">G101/G104</f>
        <v>7.7468354430379735E-2</v>
      </c>
      <c r="H102" s="172">
        <f t="shared" si="34"/>
        <v>0.19343283582089552</v>
      </c>
      <c r="I102" s="172">
        <f t="shared" si="34"/>
        <v>0.15680851063829787</v>
      </c>
      <c r="J102" s="172">
        <f t="shared" si="34"/>
        <v>0.11666666666666668</v>
      </c>
      <c r="K102" s="172">
        <f t="shared" si="34"/>
        <v>0.13571428571428573</v>
      </c>
      <c r="L102" s="172">
        <f t="shared" si="34"/>
        <v>5.1333333333333335E-2</v>
      </c>
      <c r="M102" s="172">
        <f t="shared" si="34"/>
        <v>0.20000000000000004</v>
      </c>
      <c r="N102" s="172">
        <f t="shared" si="34"/>
        <v>6.0000000000000001E-3</v>
      </c>
      <c r="O102" s="172">
        <f t="shared" si="34"/>
        <v>7.6227272727272727E-2</v>
      </c>
      <c r="P102" s="172">
        <f t="shared" si="34"/>
        <v>0.13616363636363638</v>
      </c>
      <c r="Q102" s="172">
        <f t="shared" si="34"/>
        <v>2E-3</v>
      </c>
      <c r="R102" s="172">
        <f t="shared" si="34"/>
        <v>0</v>
      </c>
      <c r="S102" s="172">
        <f t="shared" si="34"/>
        <v>0.15936</v>
      </c>
      <c r="T102" s="172">
        <f t="shared" si="34"/>
        <v>0.19916666666666669</v>
      </c>
    </row>
    <row r="103" spans="2:20">
      <c r="B103" s="317" t="s">
        <v>275</v>
      </c>
      <c r="C103" s="317"/>
      <c r="D103" s="317"/>
      <c r="E103" s="317"/>
      <c r="F103" s="147">
        <f>F101+F96+F86</f>
        <v>74.28</v>
      </c>
      <c r="G103" s="147">
        <f t="shared" ref="G103:T103" si="35">G101+G96+G86</f>
        <v>57.819999999999993</v>
      </c>
      <c r="H103" s="147">
        <f t="shared" si="35"/>
        <v>254.07</v>
      </c>
      <c r="I103" s="147">
        <f t="shared" si="35"/>
        <v>1833.98</v>
      </c>
      <c r="J103" s="147">
        <f t="shared" si="35"/>
        <v>1.4</v>
      </c>
      <c r="K103" s="147">
        <f t="shared" si="35"/>
        <v>1.5230000000000001</v>
      </c>
      <c r="L103" s="147">
        <f t="shared" si="35"/>
        <v>44.97</v>
      </c>
      <c r="M103" s="147">
        <f t="shared" si="35"/>
        <v>0.74009999999999998</v>
      </c>
      <c r="N103" s="147">
        <f t="shared" si="35"/>
        <v>7.532</v>
      </c>
      <c r="O103" s="147">
        <f t="shared" si="35"/>
        <v>477.39</v>
      </c>
      <c r="P103" s="147">
        <f t="shared" si="35"/>
        <v>984.83</v>
      </c>
      <c r="Q103" s="147">
        <f t="shared" si="35"/>
        <v>1.7590000000000001</v>
      </c>
      <c r="R103" s="147">
        <f t="shared" si="35"/>
        <v>4.7E-2</v>
      </c>
      <c r="S103" s="147">
        <f t="shared" si="35"/>
        <v>217.47</v>
      </c>
      <c r="T103" s="147">
        <f t="shared" si="35"/>
        <v>12.46</v>
      </c>
    </row>
    <row r="104" spans="2:20">
      <c r="B104" s="317" t="s">
        <v>276</v>
      </c>
      <c r="C104" s="317"/>
      <c r="D104" s="317"/>
      <c r="E104" s="317"/>
      <c r="F104" s="146">
        <v>77</v>
      </c>
      <c r="G104" s="146">
        <v>79</v>
      </c>
      <c r="H104" s="146">
        <v>335</v>
      </c>
      <c r="I104" s="146">
        <v>2350</v>
      </c>
      <c r="J104" s="146">
        <v>1.2</v>
      </c>
      <c r="K104" s="146">
        <v>1.4</v>
      </c>
      <c r="L104" s="146">
        <v>60</v>
      </c>
      <c r="M104" s="146">
        <v>0.7</v>
      </c>
      <c r="N104" s="146">
        <v>10</v>
      </c>
      <c r="O104" s="146">
        <v>1100</v>
      </c>
      <c r="P104" s="146">
        <v>1100</v>
      </c>
      <c r="Q104" s="146">
        <v>10</v>
      </c>
      <c r="R104" s="146">
        <v>0.1</v>
      </c>
      <c r="S104" s="146">
        <v>250</v>
      </c>
      <c r="T104" s="146">
        <v>12</v>
      </c>
    </row>
    <row r="105" spans="2:20">
      <c r="B105" s="317" t="s">
        <v>265</v>
      </c>
      <c r="C105" s="317"/>
      <c r="D105" s="317"/>
      <c r="E105" s="317"/>
      <c r="F105" s="142">
        <f>F103/F104</f>
        <v>0.96467532467532469</v>
      </c>
      <c r="G105" s="142">
        <f t="shared" ref="G105:T105" si="36">G103/G104</f>
        <v>0.73189873417721507</v>
      </c>
      <c r="H105" s="142">
        <f t="shared" si="36"/>
        <v>0.75841791044776119</v>
      </c>
      <c r="I105" s="142">
        <f t="shared" si="36"/>
        <v>0.78041702127659573</v>
      </c>
      <c r="J105" s="142">
        <f t="shared" si="36"/>
        <v>1.1666666666666667</v>
      </c>
      <c r="K105" s="142">
        <f t="shared" si="36"/>
        <v>1.0878571428571431</v>
      </c>
      <c r="L105" s="142">
        <f t="shared" si="36"/>
        <v>0.74949999999999994</v>
      </c>
      <c r="M105" s="142">
        <f t="shared" si="36"/>
        <v>1.0572857142857144</v>
      </c>
      <c r="N105" s="142">
        <f t="shared" si="36"/>
        <v>0.75319999999999998</v>
      </c>
      <c r="O105" s="142">
        <f t="shared" si="36"/>
        <v>0.43399090909090909</v>
      </c>
      <c r="P105" s="142">
        <f t="shared" si="36"/>
        <v>0.89529999999999998</v>
      </c>
      <c r="Q105" s="142">
        <f t="shared" si="36"/>
        <v>0.1759</v>
      </c>
      <c r="R105" s="142">
        <f t="shared" si="36"/>
        <v>0.47</v>
      </c>
      <c r="S105" s="142">
        <f t="shared" si="36"/>
        <v>0.86987999999999999</v>
      </c>
      <c r="T105" s="142">
        <f t="shared" si="36"/>
        <v>1.0383333333333333</v>
      </c>
    </row>
    <row r="106" spans="2:20">
      <c r="B106" s="144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319" t="s">
        <v>229</v>
      </c>
      <c r="N106" s="319"/>
      <c r="O106" s="319"/>
      <c r="P106" s="319"/>
      <c r="Q106" s="319"/>
      <c r="R106" s="319"/>
      <c r="S106" s="319"/>
      <c r="T106" s="319"/>
    </row>
    <row r="107" spans="2:20">
      <c r="B107" s="317" t="s">
        <v>297</v>
      </c>
      <c r="C107" s="317"/>
      <c r="D107" s="317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7"/>
      <c r="P107" s="317"/>
      <c r="Q107" s="317"/>
      <c r="R107" s="317"/>
      <c r="S107" s="317"/>
      <c r="T107" s="317"/>
    </row>
    <row r="108" spans="2:20">
      <c r="B108" s="317" t="s">
        <v>231</v>
      </c>
      <c r="C108" s="317"/>
      <c r="D108" s="146"/>
      <c r="E108" s="146"/>
      <c r="F108" s="146"/>
      <c r="G108" s="319" t="s">
        <v>298</v>
      </c>
      <c r="H108" s="319"/>
      <c r="I108" s="319"/>
      <c r="J108" s="146"/>
      <c r="K108" s="146"/>
      <c r="L108" s="317" t="s">
        <v>233</v>
      </c>
      <c r="M108" s="317"/>
      <c r="N108" s="319" t="s">
        <v>234</v>
      </c>
      <c r="O108" s="319"/>
      <c r="P108" s="319"/>
      <c r="Q108" s="319"/>
      <c r="R108" s="146"/>
      <c r="S108" s="146"/>
      <c r="T108" s="146"/>
    </row>
    <row r="109" spans="2:20">
      <c r="B109" s="146"/>
      <c r="C109" s="146"/>
      <c r="D109" s="146"/>
      <c r="E109" s="317" t="s">
        <v>235</v>
      </c>
      <c r="F109" s="317"/>
      <c r="G109" s="146">
        <v>1</v>
      </c>
      <c r="H109" s="146"/>
      <c r="I109" s="146"/>
      <c r="J109" s="146"/>
      <c r="K109" s="146"/>
      <c r="L109" s="317" t="s">
        <v>236</v>
      </c>
      <c r="M109" s="317"/>
      <c r="N109" s="319" t="s">
        <v>237</v>
      </c>
      <c r="O109" s="319"/>
      <c r="P109" s="319"/>
      <c r="Q109" s="319"/>
      <c r="R109" s="319"/>
      <c r="S109" s="319"/>
      <c r="T109" s="319"/>
    </row>
    <row r="110" spans="2:20">
      <c r="B110" s="149" t="s">
        <v>279</v>
      </c>
      <c r="C110" s="321" t="s">
        <v>239</v>
      </c>
      <c r="D110" s="321"/>
      <c r="E110" s="321" t="s">
        <v>240</v>
      </c>
      <c r="F110" s="321" t="s">
        <v>241</v>
      </c>
      <c r="G110" s="321"/>
      <c r="H110" s="321"/>
      <c r="I110" s="149" t="s">
        <v>242</v>
      </c>
      <c r="J110" s="321" t="s">
        <v>244</v>
      </c>
      <c r="K110" s="321"/>
      <c r="L110" s="321"/>
      <c r="M110" s="321"/>
      <c r="N110" s="321"/>
      <c r="O110" s="321" t="s">
        <v>245</v>
      </c>
      <c r="P110" s="321"/>
      <c r="Q110" s="321"/>
      <c r="R110" s="321"/>
      <c r="S110" s="321"/>
      <c r="T110" s="321"/>
    </row>
    <row r="111" spans="2:20" ht="51">
      <c r="B111" s="149" t="s">
        <v>280</v>
      </c>
      <c r="C111" s="321"/>
      <c r="D111" s="321"/>
      <c r="E111" s="321"/>
      <c r="F111" s="149" t="s">
        <v>246</v>
      </c>
      <c r="G111" s="149" t="s">
        <v>247</v>
      </c>
      <c r="H111" s="149" t="s">
        <v>248</v>
      </c>
      <c r="I111" s="149" t="s">
        <v>243</v>
      </c>
      <c r="J111" s="149" t="s">
        <v>249</v>
      </c>
      <c r="K111" s="149" t="s">
        <v>250</v>
      </c>
      <c r="L111" s="149" t="s">
        <v>251</v>
      </c>
      <c r="M111" s="149" t="s">
        <v>252</v>
      </c>
      <c r="N111" s="149" t="s">
        <v>253</v>
      </c>
      <c r="O111" s="149" t="s">
        <v>254</v>
      </c>
      <c r="P111" s="149" t="s">
        <v>255</v>
      </c>
      <c r="Q111" s="149" t="s">
        <v>256</v>
      </c>
      <c r="R111" s="149" t="s">
        <v>257</v>
      </c>
      <c r="S111" s="149" t="s">
        <v>258</v>
      </c>
      <c r="T111" s="149" t="s">
        <v>259</v>
      </c>
    </row>
    <row r="112" spans="2:20">
      <c r="B112" s="150">
        <v>1</v>
      </c>
      <c r="C112" s="318">
        <v>2</v>
      </c>
      <c r="D112" s="318"/>
      <c r="E112" s="150">
        <v>3</v>
      </c>
      <c r="F112" s="150">
        <v>4</v>
      </c>
      <c r="G112" s="150">
        <v>5</v>
      </c>
      <c r="H112" s="150">
        <v>6</v>
      </c>
      <c r="I112" s="150">
        <v>7</v>
      </c>
      <c r="J112" s="150">
        <v>8</v>
      </c>
      <c r="K112" s="150">
        <v>9</v>
      </c>
      <c r="L112" s="150">
        <v>10</v>
      </c>
      <c r="M112" s="150">
        <v>11</v>
      </c>
      <c r="N112" s="150">
        <v>12</v>
      </c>
      <c r="O112" s="150">
        <v>13</v>
      </c>
      <c r="P112" s="150">
        <v>14</v>
      </c>
      <c r="Q112" s="150">
        <v>15</v>
      </c>
      <c r="R112" s="150">
        <v>16</v>
      </c>
      <c r="S112" s="150">
        <v>17</v>
      </c>
      <c r="T112" s="150">
        <v>18</v>
      </c>
    </row>
    <row r="113" spans="2:20">
      <c r="B113" s="317" t="s">
        <v>281</v>
      </c>
      <c r="C113" s="317"/>
      <c r="D113" s="317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</row>
    <row r="114" spans="2:20" ht="18" customHeight="1">
      <c r="B114" s="146">
        <v>338</v>
      </c>
      <c r="C114" s="316" t="s">
        <v>417</v>
      </c>
      <c r="D114" s="316"/>
      <c r="E114" s="146">
        <v>100</v>
      </c>
      <c r="F114" s="146">
        <v>0.4</v>
      </c>
      <c r="G114" s="146">
        <v>0.3</v>
      </c>
      <c r="H114" s="146">
        <v>10.3</v>
      </c>
      <c r="I114" s="146">
        <v>45.5</v>
      </c>
      <c r="J114" s="146">
        <v>0.04</v>
      </c>
      <c r="K114" s="146">
        <v>0.02</v>
      </c>
      <c r="L114" s="146">
        <v>5</v>
      </c>
      <c r="M114" s="146">
        <v>0.01</v>
      </c>
      <c r="N114" s="146">
        <v>0.2</v>
      </c>
      <c r="O114" s="146">
        <v>19</v>
      </c>
      <c r="P114" s="146">
        <v>11</v>
      </c>
      <c r="Q114" s="146">
        <v>0.03</v>
      </c>
      <c r="R114" s="146">
        <v>0</v>
      </c>
      <c r="S114" s="146">
        <v>12</v>
      </c>
      <c r="T114" s="146">
        <v>2.2999999999999998</v>
      </c>
    </row>
    <row r="115" spans="2:20" ht="18.75" customHeight="1">
      <c r="B115" s="146">
        <v>268</v>
      </c>
      <c r="C115" s="316" t="s">
        <v>404</v>
      </c>
      <c r="D115" s="316"/>
      <c r="E115" s="146">
        <v>90</v>
      </c>
      <c r="F115" s="146">
        <v>12.11</v>
      </c>
      <c r="G115" s="146">
        <v>9.77</v>
      </c>
      <c r="H115" s="146">
        <v>4.8099999999999996</v>
      </c>
      <c r="I115" s="146">
        <v>155.6</v>
      </c>
      <c r="J115" s="146">
        <v>0.06</v>
      </c>
      <c r="K115" s="146">
        <v>0.21</v>
      </c>
      <c r="L115" s="146">
        <v>0.68</v>
      </c>
      <c r="M115" s="146">
        <v>0.2</v>
      </c>
      <c r="N115" s="146">
        <v>0.02</v>
      </c>
      <c r="O115" s="146">
        <v>66.37</v>
      </c>
      <c r="P115" s="146">
        <v>166.34</v>
      </c>
      <c r="Q115" s="146">
        <v>2.0499999999999998</v>
      </c>
      <c r="R115" s="146">
        <v>2.7E-2</v>
      </c>
      <c r="S115" s="146">
        <v>26.87</v>
      </c>
      <c r="T115" s="146">
        <v>1.74</v>
      </c>
    </row>
    <row r="116" spans="2:20" ht="25.5" customHeight="1">
      <c r="B116" s="146">
        <v>203</v>
      </c>
      <c r="C116" s="316" t="s">
        <v>299</v>
      </c>
      <c r="D116" s="316"/>
      <c r="E116" s="146">
        <v>150</v>
      </c>
      <c r="F116" s="146">
        <v>5.52</v>
      </c>
      <c r="G116" s="146">
        <v>4.5199999999999996</v>
      </c>
      <c r="H116" s="146">
        <v>26.45</v>
      </c>
      <c r="I116" s="146">
        <v>168.6</v>
      </c>
      <c r="J116" s="146">
        <v>0.09</v>
      </c>
      <c r="K116" s="146">
        <v>0.03</v>
      </c>
      <c r="L116" s="146">
        <v>0</v>
      </c>
      <c r="M116" s="146">
        <v>0.03</v>
      </c>
      <c r="N116" s="146">
        <v>1.25</v>
      </c>
      <c r="O116" s="146">
        <v>13.28</v>
      </c>
      <c r="P116" s="146">
        <v>46.21</v>
      </c>
      <c r="Q116" s="146">
        <v>0.78</v>
      </c>
      <c r="R116" s="146">
        <v>2E-3</v>
      </c>
      <c r="S116" s="146">
        <v>8.4700000000000006</v>
      </c>
      <c r="T116" s="146">
        <v>0.86</v>
      </c>
    </row>
    <row r="117" spans="2:20">
      <c r="B117" s="146">
        <v>377</v>
      </c>
      <c r="C117" s="316" t="s">
        <v>70</v>
      </c>
      <c r="D117" s="316"/>
      <c r="E117" s="146" t="s">
        <v>72</v>
      </c>
      <c r="F117" s="146">
        <v>0.26</v>
      </c>
      <c r="G117" s="146">
        <v>0.06</v>
      </c>
      <c r="H117" s="146">
        <v>15.22</v>
      </c>
      <c r="I117" s="146">
        <v>62.5</v>
      </c>
      <c r="J117" s="146"/>
      <c r="K117" s="146">
        <v>0.01</v>
      </c>
      <c r="L117" s="146">
        <v>2.9</v>
      </c>
      <c r="M117" s="146">
        <v>0</v>
      </c>
      <c r="N117" s="146">
        <v>0.06</v>
      </c>
      <c r="O117" s="146">
        <v>8.0500000000000007</v>
      </c>
      <c r="P117" s="146">
        <v>9.7799999999999994</v>
      </c>
      <c r="Q117" s="146">
        <v>1.7000000000000001E-2</v>
      </c>
      <c r="R117" s="146">
        <v>0</v>
      </c>
      <c r="S117" s="146">
        <v>5.24</v>
      </c>
      <c r="T117" s="146">
        <v>0.87</v>
      </c>
    </row>
    <row r="118" spans="2:20">
      <c r="B118" s="146" t="s">
        <v>270</v>
      </c>
      <c r="C118" s="316" t="s">
        <v>88</v>
      </c>
      <c r="D118" s="316"/>
      <c r="E118" s="146">
        <v>40</v>
      </c>
      <c r="F118" s="146">
        <v>3.04</v>
      </c>
      <c r="G118" s="146">
        <v>0.32</v>
      </c>
      <c r="H118" s="146">
        <v>19.68</v>
      </c>
      <c r="I118" s="146">
        <v>93.8</v>
      </c>
      <c r="J118" s="146">
        <v>0.04</v>
      </c>
      <c r="K118" s="146">
        <v>0.01</v>
      </c>
      <c r="L118" s="146">
        <v>0.88</v>
      </c>
      <c r="M118" s="146">
        <v>0</v>
      </c>
      <c r="N118" s="146">
        <v>0.7</v>
      </c>
      <c r="O118" s="146">
        <v>8</v>
      </c>
      <c r="P118" s="146">
        <v>26</v>
      </c>
      <c r="Q118" s="146">
        <v>8.0000000000000002E-3</v>
      </c>
      <c r="R118" s="146">
        <v>3.0000000000000001E-3</v>
      </c>
      <c r="S118" s="146">
        <v>0</v>
      </c>
      <c r="T118" s="146">
        <v>0.44</v>
      </c>
    </row>
    <row r="119" spans="2:20" ht="17.25" customHeight="1">
      <c r="B119" s="156" t="s">
        <v>285</v>
      </c>
      <c r="C119" s="157"/>
      <c r="D119" s="159"/>
      <c r="E119" s="147">
        <f>E114+E115+E116+E118+204</f>
        <v>584</v>
      </c>
      <c r="F119" s="147">
        <f>SUM(F114:F118)</f>
        <v>21.330000000000002</v>
      </c>
      <c r="G119" s="147">
        <f>SUM(G114:G118)</f>
        <v>14.97</v>
      </c>
      <c r="H119" s="147">
        <f t="shared" ref="H119:T119" si="37">SUM(H114:H118)</f>
        <v>76.460000000000008</v>
      </c>
      <c r="I119" s="147">
        <f t="shared" si="37"/>
        <v>526</v>
      </c>
      <c r="J119" s="147">
        <f t="shared" si="37"/>
        <v>0.23</v>
      </c>
      <c r="K119" s="147">
        <f t="shared" si="37"/>
        <v>0.28000000000000003</v>
      </c>
      <c r="L119" s="147">
        <f t="shared" si="37"/>
        <v>9.4600000000000009</v>
      </c>
      <c r="M119" s="147">
        <f t="shared" si="37"/>
        <v>0.24000000000000002</v>
      </c>
      <c r="N119" s="147">
        <f t="shared" si="37"/>
        <v>2.23</v>
      </c>
      <c r="O119" s="147">
        <f t="shared" si="37"/>
        <v>114.7</v>
      </c>
      <c r="P119" s="147">
        <f t="shared" si="37"/>
        <v>259.33000000000004</v>
      </c>
      <c r="Q119" s="147">
        <f t="shared" si="37"/>
        <v>2.8849999999999993</v>
      </c>
      <c r="R119" s="147">
        <f t="shared" si="37"/>
        <v>3.2000000000000001E-2</v>
      </c>
      <c r="S119" s="147">
        <f t="shared" si="37"/>
        <v>52.580000000000005</v>
      </c>
      <c r="T119" s="147">
        <f t="shared" si="37"/>
        <v>6.2100000000000009</v>
      </c>
    </row>
    <row r="120" spans="2:20">
      <c r="B120" s="317" t="s">
        <v>265</v>
      </c>
      <c r="C120" s="317"/>
      <c r="D120" s="317"/>
      <c r="E120" s="317"/>
      <c r="F120" s="142">
        <f t="shared" ref="F120:T120" si="38">F119/F137</f>
        <v>0.27701298701298704</v>
      </c>
      <c r="G120" s="142">
        <f t="shared" si="38"/>
        <v>0.18949367088607597</v>
      </c>
      <c r="H120" s="142">
        <f t="shared" si="38"/>
        <v>0.22823880597014928</v>
      </c>
      <c r="I120" s="142">
        <f t="shared" si="38"/>
        <v>0.22382978723404257</v>
      </c>
      <c r="J120" s="142">
        <f t="shared" si="38"/>
        <v>0.19166666666666668</v>
      </c>
      <c r="K120" s="142">
        <f t="shared" si="38"/>
        <v>0.20000000000000004</v>
      </c>
      <c r="L120" s="142">
        <f t="shared" si="38"/>
        <v>0.15766666666666668</v>
      </c>
      <c r="M120" s="142">
        <f t="shared" si="38"/>
        <v>0.34285714285714292</v>
      </c>
      <c r="N120" s="142">
        <f t="shared" si="38"/>
        <v>0.223</v>
      </c>
      <c r="O120" s="142">
        <f t="shared" si="38"/>
        <v>0.10427272727272728</v>
      </c>
      <c r="P120" s="142">
        <f t="shared" si="38"/>
        <v>0.23575454545454549</v>
      </c>
      <c r="Q120" s="142">
        <f t="shared" si="38"/>
        <v>0.28849999999999992</v>
      </c>
      <c r="R120" s="142">
        <f t="shared" si="38"/>
        <v>0.32</v>
      </c>
      <c r="S120" s="142">
        <f t="shared" si="38"/>
        <v>0.21032000000000003</v>
      </c>
      <c r="T120" s="142">
        <f t="shared" si="38"/>
        <v>0.51750000000000007</v>
      </c>
    </row>
    <row r="121" spans="2:20">
      <c r="B121" s="317" t="s">
        <v>266</v>
      </c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</row>
    <row r="122" spans="2:20" s="120" customFormat="1" ht="18" customHeight="1">
      <c r="B122" s="146">
        <v>115</v>
      </c>
      <c r="C122" s="316" t="s">
        <v>341</v>
      </c>
      <c r="D122" s="316"/>
      <c r="E122" s="146">
        <v>60</v>
      </c>
      <c r="F122" s="146">
        <v>1.1399999999999999</v>
      </c>
      <c r="G122" s="146">
        <v>5.34</v>
      </c>
      <c r="H122" s="146">
        <v>4.62</v>
      </c>
      <c r="I122" s="146">
        <v>71.400000000000006</v>
      </c>
      <c r="J122" s="146">
        <v>0.01</v>
      </c>
      <c r="K122" s="146">
        <v>0</v>
      </c>
      <c r="L122" s="146">
        <v>4.2</v>
      </c>
      <c r="M122" s="146">
        <v>0.01</v>
      </c>
      <c r="N122" s="146"/>
      <c r="O122" s="146">
        <v>24.6</v>
      </c>
      <c r="P122" s="146">
        <v>22.2</v>
      </c>
      <c r="Q122" s="146"/>
      <c r="R122" s="146">
        <v>0</v>
      </c>
      <c r="S122" s="146">
        <v>9</v>
      </c>
      <c r="T122" s="146">
        <v>0.42</v>
      </c>
    </row>
    <row r="123" spans="2:20" ht="27" customHeight="1">
      <c r="B123" s="146">
        <v>96</v>
      </c>
      <c r="C123" s="316" t="s">
        <v>342</v>
      </c>
      <c r="D123" s="316"/>
      <c r="E123" s="146">
        <v>200</v>
      </c>
      <c r="F123" s="146">
        <v>2.1</v>
      </c>
      <c r="G123" s="146">
        <v>4.9000000000000004</v>
      </c>
      <c r="H123" s="146">
        <v>13.6</v>
      </c>
      <c r="I123" s="146">
        <v>107</v>
      </c>
      <c r="J123" s="146">
        <v>0.1</v>
      </c>
      <c r="K123" s="146">
        <v>5.8999999999999997E-2</v>
      </c>
      <c r="L123" s="146">
        <v>12.8</v>
      </c>
      <c r="M123" s="146">
        <v>0.03</v>
      </c>
      <c r="N123" s="146">
        <v>0</v>
      </c>
      <c r="O123" s="146">
        <v>20.2</v>
      </c>
      <c r="P123" s="146">
        <v>56.8</v>
      </c>
      <c r="Q123" s="146">
        <v>0</v>
      </c>
      <c r="R123" s="146">
        <v>0</v>
      </c>
      <c r="S123" s="146">
        <v>21.4</v>
      </c>
      <c r="T123" s="146">
        <v>0.76</v>
      </c>
    </row>
    <row r="124" spans="2:20" ht="18.75" customHeight="1">
      <c r="B124" s="146">
        <v>266</v>
      </c>
      <c r="C124" s="316" t="s">
        <v>343</v>
      </c>
      <c r="D124" s="316"/>
      <c r="E124" s="146">
        <v>90</v>
      </c>
      <c r="F124" s="146">
        <v>16.7</v>
      </c>
      <c r="G124" s="146">
        <v>23.3</v>
      </c>
      <c r="H124" s="146">
        <v>4.3</v>
      </c>
      <c r="I124" s="146">
        <v>293.39999999999998</v>
      </c>
      <c r="J124" s="146">
        <v>0.2</v>
      </c>
      <c r="K124" s="146">
        <v>0.23599999999999999</v>
      </c>
      <c r="L124" s="146">
        <v>0.5</v>
      </c>
      <c r="M124" s="146">
        <v>0.05</v>
      </c>
      <c r="N124" s="146">
        <v>6.7500000000000004E-2</v>
      </c>
      <c r="O124" s="146">
        <v>54.5</v>
      </c>
      <c r="P124" s="146">
        <v>200.1</v>
      </c>
      <c r="Q124" s="146">
        <v>2.57</v>
      </c>
      <c r="R124" s="146">
        <v>4.4999999999999998E-2</v>
      </c>
      <c r="S124" s="146">
        <v>27.5</v>
      </c>
      <c r="T124" s="146">
        <v>2.17</v>
      </c>
    </row>
    <row r="125" spans="2:20" ht="25.5" customHeight="1">
      <c r="B125" s="146">
        <v>312</v>
      </c>
      <c r="C125" s="316" t="s">
        <v>286</v>
      </c>
      <c r="D125" s="316"/>
      <c r="E125" s="146">
        <v>150</v>
      </c>
      <c r="F125" s="146">
        <v>3.29</v>
      </c>
      <c r="G125" s="146">
        <v>7.06</v>
      </c>
      <c r="H125" s="146">
        <v>22.21</v>
      </c>
      <c r="I125" s="146">
        <v>165.54</v>
      </c>
      <c r="J125" s="146">
        <v>0.16</v>
      </c>
      <c r="K125" s="146">
        <v>0.13</v>
      </c>
      <c r="L125" s="146">
        <v>26.11</v>
      </c>
      <c r="M125" s="146">
        <v>0.08</v>
      </c>
      <c r="N125" s="146">
        <v>1.5</v>
      </c>
      <c r="O125" s="146">
        <v>42.54</v>
      </c>
      <c r="P125" s="146">
        <v>97.8</v>
      </c>
      <c r="Q125" s="146">
        <v>0.29899999999999999</v>
      </c>
      <c r="R125" s="146">
        <v>1E-3</v>
      </c>
      <c r="S125" s="146">
        <v>33.06</v>
      </c>
      <c r="T125" s="146">
        <v>1.19</v>
      </c>
    </row>
    <row r="126" spans="2:20" ht="28.5" customHeight="1">
      <c r="B126" s="146">
        <v>349</v>
      </c>
      <c r="C126" s="316" t="s">
        <v>287</v>
      </c>
      <c r="D126" s="316"/>
      <c r="E126" s="146">
        <v>200</v>
      </c>
      <c r="F126" s="146">
        <v>0.22</v>
      </c>
      <c r="G126" s="146"/>
      <c r="H126" s="146">
        <v>24.42</v>
      </c>
      <c r="I126" s="146">
        <v>98.56</v>
      </c>
      <c r="J126" s="146"/>
      <c r="K126" s="146"/>
      <c r="L126" s="146">
        <v>0.2</v>
      </c>
      <c r="M126" s="146"/>
      <c r="N126" s="146"/>
      <c r="O126" s="146">
        <v>22.6</v>
      </c>
      <c r="P126" s="146">
        <v>7.7</v>
      </c>
      <c r="Q126" s="146">
        <v>0</v>
      </c>
      <c r="R126" s="146">
        <v>0</v>
      </c>
      <c r="S126" s="146">
        <v>3</v>
      </c>
      <c r="T126" s="146">
        <v>0.66</v>
      </c>
    </row>
    <row r="127" spans="2:20" ht="18.75" customHeight="1">
      <c r="B127" s="146" t="s">
        <v>270</v>
      </c>
      <c r="C127" s="316" t="s">
        <v>135</v>
      </c>
      <c r="D127" s="316"/>
      <c r="E127" s="146">
        <v>40</v>
      </c>
      <c r="F127" s="146">
        <v>2.64</v>
      </c>
      <c r="G127" s="146">
        <v>0.48</v>
      </c>
      <c r="H127" s="146">
        <v>13.68</v>
      </c>
      <c r="I127" s="146">
        <v>69.599999999999994</v>
      </c>
      <c r="J127" s="146">
        <v>0.08</v>
      </c>
      <c r="K127" s="146">
        <v>0.04</v>
      </c>
      <c r="L127" s="146">
        <v>0</v>
      </c>
      <c r="M127" s="146">
        <v>0</v>
      </c>
      <c r="N127" s="146">
        <v>2.4</v>
      </c>
      <c r="O127" s="146">
        <v>14</v>
      </c>
      <c r="P127" s="146">
        <v>63.2</v>
      </c>
      <c r="Q127" s="146">
        <v>1.2</v>
      </c>
      <c r="R127" s="146">
        <v>1E-3</v>
      </c>
      <c r="S127" s="146">
        <v>9.4</v>
      </c>
      <c r="T127" s="146">
        <v>0.78</v>
      </c>
    </row>
    <row r="128" spans="2:20">
      <c r="B128" s="146" t="s">
        <v>270</v>
      </c>
      <c r="C128" s="316" t="s">
        <v>35</v>
      </c>
      <c r="D128" s="316"/>
      <c r="E128" s="146">
        <v>30</v>
      </c>
      <c r="F128" s="146">
        <v>1.52</v>
      </c>
      <c r="G128" s="146">
        <v>0.16</v>
      </c>
      <c r="H128" s="146">
        <v>9.84</v>
      </c>
      <c r="I128" s="146">
        <v>46.9</v>
      </c>
      <c r="J128" s="146">
        <v>0.02</v>
      </c>
      <c r="K128" s="146">
        <v>0.01</v>
      </c>
      <c r="L128" s="146">
        <v>0.44</v>
      </c>
      <c r="M128" s="146">
        <v>0</v>
      </c>
      <c r="N128" s="146">
        <v>0.7</v>
      </c>
      <c r="O128" s="146">
        <v>4</v>
      </c>
      <c r="P128" s="146">
        <v>13</v>
      </c>
      <c r="Q128" s="146">
        <v>8.0000000000000002E-3</v>
      </c>
      <c r="R128" s="146">
        <v>1E-3</v>
      </c>
      <c r="S128" s="146">
        <v>0</v>
      </c>
      <c r="T128" s="146">
        <v>0.22</v>
      </c>
    </row>
    <row r="129" spans="2:20" ht="25.5" customHeight="1">
      <c r="B129" s="317" t="s">
        <v>271</v>
      </c>
      <c r="C129" s="317"/>
      <c r="D129" s="317"/>
      <c r="E129" s="147">
        <f>SUM(E122:E128)</f>
        <v>770</v>
      </c>
      <c r="F129" s="147">
        <f>SUM(F122:F128)</f>
        <v>27.609999999999996</v>
      </c>
      <c r="G129" s="147">
        <f t="shared" ref="G129:T129" si="39">SUM(G122:G128)</f>
        <v>41.239999999999995</v>
      </c>
      <c r="H129" s="147">
        <f t="shared" si="39"/>
        <v>92.670000000000016</v>
      </c>
      <c r="I129" s="147">
        <f t="shared" si="39"/>
        <v>852.39999999999986</v>
      </c>
      <c r="J129" s="147">
        <f t="shared" si="39"/>
        <v>0.56999999999999995</v>
      </c>
      <c r="K129" s="147">
        <f t="shared" si="39"/>
        <v>0.47499999999999998</v>
      </c>
      <c r="L129" s="147">
        <f t="shared" si="39"/>
        <v>44.25</v>
      </c>
      <c r="M129" s="147">
        <f t="shared" si="39"/>
        <v>0.16999999999999998</v>
      </c>
      <c r="N129" s="147">
        <f t="shared" si="39"/>
        <v>4.6674999999999995</v>
      </c>
      <c r="O129" s="147">
        <f t="shared" si="39"/>
        <v>182.44</v>
      </c>
      <c r="P129" s="147">
        <f t="shared" si="39"/>
        <v>460.8</v>
      </c>
      <c r="Q129" s="147">
        <f t="shared" si="39"/>
        <v>4.077</v>
      </c>
      <c r="R129" s="147">
        <f t="shared" si="39"/>
        <v>4.8000000000000001E-2</v>
      </c>
      <c r="S129" s="147">
        <f t="shared" si="39"/>
        <v>103.36000000000001</v>
      </c>
      <c r="T129" s="147">
        <f t="shared" si="39"/>
        <v>6.1999999999999993</v>
      </c>
    </row>
    <row r="130" spans="2:20">
      <c r="B130" s="317" t="s">
        <v>265</v>
      </c>
      <c r="C130" s="317"/>
      <c r="D130" s="317"/>
      <c r="E130" s="317"/>
      <c r="F130" s="142">
        <f t="shared" ref="F130:T130" si="40">F129/F137</f>
        <v>0.35857142857142854</v>
      </c>
      <c r="G130" s="142">
        <f t="shared" si="40"/>
        <v>0.52202531645569616</v>
      </c>
      <c r="H130" s="142">
        <f t="shared" si="40"/>
        <v>0.27662686567164185</v>
      </c>
      <c r="I130" s="142">
        <f t="shared" si="40"/>
        <v>0.36272340425531907</v>
      </c>
      <c r="J130" s="142">
        <f t="shared" si="40"/>
        <v>0.47499999999999998</v>
      </c>
      <c r="K130" s="142">
        <f t="shared" si="40"/>
        <v>0.3392857142857143</v>
      </c>
      <c r="L130" s="142">
        <f t="shared" si="40"/>
        <v>0.73750000000000004</v>
      </c>
      <c r="M130" s="142">
        <f t="shared" si="40"/>
        <v>0.24285714285714285</v>
      </c>
      <c r="N130" s="142">
        <f t="shared" si="40"/>
        <v>0.46674999999999994</v>
      </c>
      <c r="O130" s="142">
        <f t="shared" si="40"/>
        <v>0.16585454545454545</v>
      </c>
      <c r="P130" s="142">
        <f t="shared" si="40"/>
        <v>0.4189090909090909</v>
      </c>
      <c r="Q130" s="142">
        <f t="shared" si="40"/>
        <v>0.40770000000000001</v>
      </c>
      <c r="R130" s="142">
        <f t="shared" si="40"/>
        <v>0.48</v>
      </c>
      <c r="S130" s="142">
        <f t="shared" si="40"/>
        <v>0.41344000000000003</v>
      </c>
      <c r="T130" s="142">
        <f t="shared" si="40"/>
        <v>0.51666666666666661</v>
      </c>
    </row>
    <row r="131" spans="2:20">
      <c r="B131" s="317" t="s">
        <v>272</v>
      </c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  <c r="N131" s="317"/>
      <c r="O131" s="317"/>
      <c r="P131" s="317"/>
      <c r="Q131" s="317"/>
      <c r="R131" s="317"/>
      <c r="S131" s="317"/>
      <c r="T131" s="317"/>
    </row>
    <row r="132" spans="2:20">
      <c r="B132" s="153" t="s">
        <v>270</v>
      </c>
      <c r="C132" s="315" t="s">
        <v>407</v>
      </c>
      <c r="D132" s="315"/>
      <c r="E132" s="153">
        <v>65</v>
      </c>
      <c r="F132" s="153">
        <v>4.16</v>
      </c>
      <c r="G132" s="153">
        <v>8.14</v>
      </c>
      <c r="H132" s="153">
        <v>33.799999999999997</v>
      </c>
      <c r="I132" s="153">
        <v>225.34</v>
      </c>
      <c r="J132" s="153">
        <v>0.06</v>
      </c>
      <c r="K132" s="153">
        <v>0.05</v>
      </c>
      <c r="L132" s="153">
        <v>0</v>
      </c>
      <c r="M132" s="153">
        <v>0.06</v>
      </c>
      <c r="N132" s="153"/>
      <c r="O132" s="153">
        <v>11.26</v>
      </c>
      <c r="P132" s="153">
        <v>0</v>
      </c>
      <c r="Q132" s="153"/>
      <c r="R132" s="153">
        <v>0</v>
      </c>
      <c r="S132" s="153">
        <v>0</v>
      </c>
      <c r="T132" s="153">
        <v>0.6</v>
      </c>
    </row>
    <row r="133" spans="2:20" ht="19.5" customHeight="1">
      <c r="B133" s="146">
        <v>389</v>
      </c>
      <c r="C133" s="316" t="s">
        <v>305</v>
      </c>
      <c r="D133" s="316"/>
      <c r="E133" s="146">
        <v>200</v>
      </c>
      <c r="F133" s="146">
        <v>1</v>
      </c>
      <c r="G133" s="146">
        <v>0.2</v>
      </c>
      <c r="H133" s="146">
        <v>20.2</v>
      </c>
      <c r="I133" s="146">
        <v>87</v>
      </c>
      <c r="J133" s="146">
        <v>0</v>
      </c>
      <c r="K133" s="146">
        <v>0.08</v>
      </c>
      <c r="L133" s="146">
        <v>4</v>
      </c>
      <c r="M133" s="146">
        <v>0</v>
      </c>
      <c r="N133" s="146">
        <v>0</v>
      </c>
      <c r="O133" s="146">
        <v>31.1</v>
      </c>
      <c r="P133" s="146">
        <v>18</v>
      </c>
      <c r="Q133" s="146">
        <v>0</v>
      </c>
      <c r="R133" s="146">
        <v>0</v>
      </c>
      <c r="S133" s="146">
        <v>8</v>
      </c>
      <c r="T133" s="146">
        <v>0.72</v>
      </c>
    </row>
    <row r="134" spans="2:20" ht="25.5" customHeight="1">
      <c r="B134" s="312" t="s">
        <v>274</v>
      </c>
      <c r="C134" s="313"/>
      <c r="D134" s="314"/>
      <c r="E134" s="164">
        <f>E132+E133</f>
        <v>265</v>
      </c>
      <c r="F134" s="164">
        <f>F132+F133</f>
        <v>5.16</v>
      </c>
      <c r="G134" s="164">
        <f t="shared" ref="G134:T134" si="41">G132+G133</f>
        <v>8.34</v>
      </c>
      <c r="H134" s="164">
        <f t="shared" si="41"/>
        <v>54</v>
      </c>
      <c r="I134" s="164">
        <f t="shared" si="41"/>
        <v>312.34000000000003</v>
      </c>
      <c r="J134" s="164">
        <f t="shared" si="41"/>
        <v>0.06</v>
      </c>
      <c r="K134" s="164">
        <f t="shared" si="41"/>
        <v>0.13</v>
      </c>
      <c r="L134" s="164">
        <f t="shared" si="41"/>
        <v>4</v>
      </c>
      <c r="M134" s="164">
        <f t="shared" si="41"/>
        <v>0.06</v>
      </c>
      <c r="N134" s="164">
        <f t="shared" si="41"/>
        <v>0</v>
      </c>
      <c r="O134" s="164">
        <f t="shared" si="41"/>
        <v>42.36</v>
      </c>
      <c r="P134" s="164">
        <f t="shared" si="41"/>
        <v>18</v>
      </c>
      <c r="Q134" s="164">
        <f t="shared" si="41"/>
        <v>0</v>
      </c>
      <c r="R134" s="164">
        <f t="shared" si="41"/>
        <v>0</v>
      </c>
      <c r="S134" s="164">
        <f t="shared" si="41"/>
        <v>8</v>
      </c>
      <c r="T134" s="164">
        <f t="shared" si="41"/>
        <v>1.3199999999999998</v>
      </c>
    </row>
    <row r="135" spans="2:20" ht="15" customHeight="1">
      <c r="B135" s="311" t="s">
        <v>265</v>
      </c>
      <c r="C135" s="311"/>
      <c r="D135" s="311"/>
      <c r="E135" s="311"/>
      <c r="F135" s="172">
        <f>F134/F137</f>
        <v>6.701298701298701E-2</v>
      </c>
      <c r="G135" s="172">
        <f t="shared" ref="G135:T135" si="42">G134/G137</f>
        <v>0.10556962025316456</v>
      </c>
      <c r="H135" s="172">
        <f t="shared" si="42"/>
        <v>0.16119402985074627</v>
      </c>
      <c r="I135" s="172">
        <f t="shared" si="42"/>
        <v>0.13291063829787236</v>
      </c>
      <c r="J135" s="172">
        <f t="shared" si="42"/>
        <v>0.05</v>
      </c>
      <c r="K135" s="172">
        <f t="shared" si="42"/>
        <v>9.285714285714286E-2</v>
      </c>
      <c r="L135" s="172">
        <f t="shared" si="42"/>
        <v>6.6666666666666666E-2</v>
      </c>
      <c r="M135" s="172">
        <f t="shared" si="42"/>
        <v>8.5714285714285715E-2</v>
      </c>
      <c r="N135" s="172">
        <f t="shared" si="42"/>
        <v>0</v>
      </c>
      <c r="O135" s="172">
        <f t="shared" si="42"/>
        <v>3.8509090909090909E-2</v>
      </c>
      <c r="P135" s="172">
        <f t="shared" si="42"/>
        <v>1.6363636363636365E-2</v>
      </c>
      <c r="Q135" s="172">
        <f t="shared" si="42"/>
        <v>0</v>
      </c>
      <c r="R135" s="172">
        <f t="shared" si="42"/>
        <v>0</v>
      </c>
      <c r="S135" s="172">
        <f t="shared" si="42"/>
        <v>3.2000000000000001E-2</v>
      </c>
      <c r="T135" s="172">
        <f t="shared" si="42"/>
        <v>0.10999999999999999</v>
      </c>
    </row>
    <row r="136" spans="2:20">
      <c r="B136" s="317" t="s">
        <v>275</v>
      </c>
      <c r="C136" s="317"/>
      <c r="D136" s="317"/>
      <c r="E136" s="317"/>
      <c r="F136" s="147">
        <f>F134+F129+F119</f>
        <v>54.099999999999994</v>
      </c>
      <c r="G136" s="147">
        <f t="shared" ref="G136:T136" si="43">G134+G129+G119</f>
        <v>64.55</v>
      </c>
      <c r="H136" s="147">
        <f t="shared" si="43"/>
        <v>223.13000000000002</v>
      </c>
      <c r="I136" s="147">
        <f t="shared" si="43"/>
        <v>1690.7399999999998</v>
      </c>
      <c r="J136" s="147">
        <f t="shared" si="43"/>
        <v>0.85999999999999988</v>
      </c>
      <c r="K136" s="147">
        <f t="shared" si="43"/>
        <v>0.88500000000000001</v>
      </c>
      <c r="L136" s="147">
        <f t="shared" si="43"/>
        <v>57.71</v>
      </c>
      <c r="M136" s="147">
        <f t="shared" si="43"/>
        <v>0.47</v>
      </c>
      <c r="N136" s="147">
        <f t="shared" si="43"/>
        <v>6.8974999999999991</v>
      </c>
      <c r="O136" s="147">
        <f t="shared" si="43"/>
        <v>339.5</v>
      </c>
      <c r="P136" s="147">
        <f t="shared" si="43"/>
        <v>738.13000000000011</v>
      </c>
      <c r="Q136" s="147">
        <f t="shared" si="43"/>
        <v>6.9619999999999997</v>
      </c>
      <c r="R136" s="147">
        <f t="shared" si="43"/>
        <v>0.08</v>
      </c>
      <c r="S136" s="147">
        <f t="shared" si="43"/>
        <v>163.94000000000003</v>
      </c>
      <c r="T136" s="147">
        <f t="shared" si="43"/>
        <v>13.73</v>
      </c>
    </row>
    <row r="137" spans="2:20">
      <c r="B137" s="317" t="s">
        <v>276</v>
      </c>
      <c r="C137" s="317"/>
      <c r="D137" s="317"/>
      <c r="E137" s="317"/>
      <c r="F137" s="146">
        <v>77</v>
      </c>
      <c r="G137" s="146">
        <v>79</v>
      </c>
      <c r="H137" s="146">
        <v>335</v>
      </c>
      <c r="I137" s="146">
        <v>2350</v>
      </c>
      <c r="J137" s="146">
        <v>1.2</v>
      </c>
      <c r="K137" s="146">
        <v>1.4</v>
      </c>
      <c r="L137" s="146">
        <v>60</v>
      </c>
      <c r="M137" s="146">
        <v>0.7</v>
      </c>
      <c r="N137" s="146">
        <v>10</v>
      </c>
      <c r="O137" s="146">
        <v>1100</v>
      </c>
      <c r="P137" s="146">
        <v>1100</v>
      </c>
      <c r="Q137" s="146">
        <v>10</v>
      </c>
      <c r="R137" s="146">
        <v>0.1</v>
      </c>
      <c r="S137" s="146">
        <v>250</v>
      </c>
      <c r="T137" s="146">
        <v>12</v>
      </c>
    </row>
    <row r="138" spans="2:20">
      <c r="B138" s="317" t="s">
        <v>265</v>
      </c>
      <c r="C138" s="317"/>
      <c r="D138" s="317"/>
      <c r="E138" s="317"/>
      <c r="F138" s="142">
        <f>F136/F137</f>
        <v>0.70259740259740255</v>
      </c>
      <c r="G138" s="142">
        <f t="shared" ref="G138:T138" si="44">G136/G137</f>
        <v>0.81708860759493662</v>
      </c>
      <c r="H138" s="142">
        <f t="shared" si="44"/>
        <v>0.66605970149253735</v>
      </c>
      <c r="I138" s="142">
        <f t="shared" si="44"/>
        <v>0.719463829787234</v>
      </c>
      <c r="J138" s="142">
        <f t="shared" si="44"/>
        <v>0.71666666666666656</v>
      </c>
      <c r="K138" s="142">
        <f t="shared" si="44"/>
        <v>0.63214285714285723</v>
      </c>
      <c r="L138" s="142">
        <f t="shared" si="44"/>
        <v>0.96183333333333332</v>
      </c>
      <c r="M138" s="142">
        <f t="shared" si="44"/>
        <v>0.67142857142857149</v>
      </c>
      <c r="N138" s="142">
        <f t="shared" si="44"/>
        <v>0.68974999999999986</v>
      </c>
      <c r="O138" s="142">
        <f t="shared" si="44"/>
        <v>0.30863636363636365</v>
      </c>
      <c r="P138" s="142">
        <f t="shared" si="44"/>
        <v>0.67102727272727281</v>
      </c>
      <c r="Q138" s="142">
        <f t="shared" si="44"/>
        <v>0.69619999999999993</v>
      </c>
      <c r="R138" s="142">
        <f t="shared" si="44"/>
        <v>0.79999999999999993</v>
      </c>
      <c r="S138" s="142">
        <f t="shared" si="44"/>
        <v>0.65576000000000012</v>
      </c>
      <c r="T138" s="142">
        <f t="shared" si="44"/>
        <v>1.1441666666666668</v>
      </c>
    </row>
    <row r="139" spans="2:20">
      <c r="B139" s="144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319" t="s">
        <v>229</v>
      </c>
      <c r="N139" s="319"/>
      <c r="O139" s="319"/>
      <c r="P139" s="319"/>
      <c r="Q139" s="319"/>
      <c r="R139" s="319"/>
      <c r="S139" s="319"/>
      <c r="T139" s="319"/>
    </row>
    <row r="140" spans="2:20">
      <c r="B140" s="317" t="s">
        <v>300</v>
      </c>
      <c r="C140" s="317"/>
      <c r="D140" s="317"/>
      <c r="E140" s="317"/>
      <c r="F140" s="317"/>
      <c r="G140" s="317"/>
      <c r="H140" s="317"/>
      <c r="I140" s="317"/>
      <c r="J140" s="317"/>
      <c r="K140" s="317"/>
      <c r="L140" s="317"/>
      <c r="M140" s="317"/>
      <c r="N140" s="317"/>
      <c r="O140" s="317"/>
      <c r="P140" s="317"/>
      <c r="Q140" s="317"/>
      <c r="R140" s="317"/>
      <c r="S140" s="317"/>
      <c r="T140" s="317"/>
    </row>
    <row r="141" spans="2:20">
      <c r="B141" s="317" t="s">
        <v>231</v>
      </c>
      <c r="C141" s="317"/>
      <c r="D141" s="146"/>
      <c r="E141" s="146"/>
      <c r="F141" s="146"/>
      <c r="G141" s="319" t="s">
        <v>301</v>
      </c>
      <c r="H141" s="319"/>
      <c r="I141" s="319"/>
      <c r="J141" s="146"/>
      <c r="K141" s="146"/>
      <c r="L141" s="317" t="s">
        <v>233</v>
      </c>
      <c r="M141" s="317"/>
      <c r="N141" s="319" t="s">
        <v>302</v>
      </c>
      <c r="O141" s="319"/>
      <c r="P141" s="319"/>
      <c r="Q141" s="319"/>
      <c r="R141" s="146"/>
      <c r="S141" s="146"/>
      <c r="T141" s="146"/>
    </row>
    <row r="142" spans="2:20">
      <c r="B142" s="146"/>
      <c r="C142" s="146"/>
      <c r="D142" s="146"/>
      <c r="E142" s="317" t="s">
        <v>235</v>
      </c>
      <c r="F142" s="317"/>
      <c r="G142" s="146">
        <v>1</v>
      </c>
      <c r="H142" s="146"/>
      <c r="I142" s="146"/>
      <c r="J142" s="146"/>
      <c r="K142" s="146"/>
      <c r="L142" s="317" t="s">
        <v>236</v>
      </c>
      <c r="M142" s="317"/>
      <c r="N142" s="319" t="s">
        <v>237</v>
      </c>
      <c r="O142" s="319"/>
      <c r="P142" s="319"/>
      <c r="Q142" s="319"/>
      <c r="R142" s="319"/>
      <c r="S142" s="319"/>
      <c r="T142" s="319"/>
    </row>
    <row r="143" spans="2:20">
      <c r="B143" s="149" t="s">
        <v>279</v>
      </c>
      <c r="C143" s="321" t="s">
        <v>239</v>
      </c>
      <c r="D143" s="321"/>
      <c r="E143" s="321" t="s">
        <v>240</v>
      </c>
      <c r="F143" s="321" t="s">
        <v>241</v>
      </c>
      <c r="G143" s="321"/>
      <c r="H143" s="321"/>
      <c r="I143" s="149" t="s">
        <v>242</v>
      </c>
      <c r="J143" s="321" t="s">
        <v>244</v>
      </c>
      <c r="K143" s="321"/>
      <c r="L143" s="321"/>
      <c r="M143" s="321"/>
      <c r="N143" s="321"/>
      <c r="O143" s="321" t="s">
        <v>245</v>
      </c>
      <c r="P143" s="321"/>
      <c r="Q143" s="321"/>
      <c r="R143" s="321"/>
      <c r="S143" s="321"/>
      <c r="T143" s="321"/>
    </row>
    <row r="144" spans="2:20" ht="51">
      <c r="B144" s="149" t="s">
        <v>280</v>
      </c>
      <c r="C144" s="321"/>
      <c r="D144" s="321"/>
      <c r="E144" s="321"/>
      <c r="F144" s="149" t="s">
        <v>246</v>
      </c>
      <c r="G144" s="149" t="s">
        <v>247</v>
      </c>
      <c r="H144" s="149" t="s">
        <v>248</v>
      </c>
      <c r="I144" s="149" t="s">
        <v>243</v>
      </c>
      <c r="J144" s="149" t="s">
        <v>249</v>
      </c>
      <c r="K144" s="149" t="s">
        <v>250</v>
      </c>
      <c r="L144" s="149" t="s">
        <v>251</v>
      </c>
      <c r="M144" s="149" t="s">
        <v>252</v>
      </c>
      <c r="N144" s="149" t="s">
        <v>253</v>
      </c>
      <c r="O144" s="149" t="s">
        <v>254</v>
      </c>
      <c r="P144" s="149" t="s">
        <v>255</v>
      </c>
      <c r="Q144" s="149" t="s">
        <v>256</v>
      </c>
      <c r="R144" s="149" t="s">
        <v>257</v>
      </c>
      <c r="S144" s="149" t="s">
        <v>258</v>
      </c>
      <c r="T144" s="149" t="s">
        <v>259</v>
      </c>
    </row>
    <row r="145" spans="2:20">
      <c r="B145" s="150">
        <v>1</v>
      </c>
      <c r="C145" s="318">
        <v>2</v>
      </c>
      <c r="D145" s="318"/>
      <c r="E145" s="150">
        <v>3</v>
      </c>
      <c r="F145" s="150">
        <v>4</v>
      </c>
      <c r="G145" s="150">
        <v>5</v>
      </c>
      <c r="H145" s="150">
        <v>6</v>
      </c>
      <c r="I145" s="150">
        <v>7</v>
      </c>
      <c r="J145" s="150">
        <v>8</v>
      </c>
      <c r="K145" s="150">
        <v>9</v>
      </c>
      <c r="L145" s="150">
        <v>10</v>
      </c>
      <c r="M145" s="150">
        <v>11</v>
      </c>
      <c r="N145" s="150">
        <v>12</v>
      </c>
      <c r="O145" s="150">
        <v>13</v>
      </c>
      <c r="P145" s="150">
        <v>14</v>
      </c>
      <c r="Q145" s="150">
        <v>15</v>
      </c>
      <c r="R145" s="150">
        <v>16</v>
      </c>
      <c r="S145" s="150">
        <v>17</v>
      </c>
      <c r="T145" s="150">
        <v>18</v>
      </c>
    </row>
    <row r="146" spans="2:20">
      <c r="B146" s="317" t="s">
        <v>260</v>
      </c>
      <c r="C146" s="317"/>
      <c r="D146" s="317"/>
      <c r="E146" s="317"/>
      <c r="F146" s="317"/>
      <c r="G146" s="317"/>
      <c r="H146" s="317"/>
      <c r="I146" s="317"/>
      <c r="J146" s="317"/>
      <c r="K146" s="317"/>
      <c r="L146" s="317"/>
      <c r="M146" s="317"/>
      <c r="N146" s="317"/>
      <c r="O146" s="317"/>
      <c r="P146" s="317"/>
      <c r="Q146" s="317"/>
      <c r="R146" s="317"/>
      <c r="S146" s="317"/>
      <c r="T146" s="317"/>
    </row>
    <row r="147" spans="2:20" ht="25.5" customHeight="1">
      <c r="B147" s="146">
        <v>210</v>
      </c>
      <c r="C147" s="316" t="s">
        <v>303</v>
      </c>
      <c r="D147" s="316"/>
      <c r="E147" s="146">
        <v>200</v>
      </c>
      <c r="F147" s="146">
        <v>16.29</v>
      </c>
      <c r="G147" s="146">
        <v>18.989999999999998</v>
      </c>
      <c r="H147" s="146">
        <v>5.04</v>
      </c>
      <c r="I147" s="146">
        <v>255</v>
      </c>
      <c r="J147" s="146">
        <v>0.12</v>
      </c>
      <c r="K147" s="146">
        <v>0.27</v>
      </c>
      <c r="L147" s="146">
        <v>0.32</v>
      </c>
      <c r="M147" s="146">
        <v>0.04</v>
      </c>
      <c r="N147" s="146">
        <v>1.94</v>
      </c>
      <c r="O147" s="146">
        <v>131.38</v>
      </c>
      <c r="P147" s="146">
        <v>248.5</v>
      </c>
      <c r="Q147" s="146">
        <v>1.35</v>
      </c>
      <c r="R147" s="146">
        <v>0.03</v>
      </c>
      <c r="S147" s="146">
        <v>21.55</v>
      </c>
      <c r="T147" s="146">
        <v>1.51</v>
      </c>
    </row>
    <row r="148" spans="2:20" ht="18.75" customHeight="1">
      <c r="B148" s="146">
        <v>338</v>
      </c>
      <c r="C148" s="316" t="s">
        <v>261</v>
      </c>
      <c r="D148" s="316"/>
      <c r="E148" s="146">
        <v>100</v>
      </c>
      <c r="F148" s="146">
        <v>0.4</v>
      </c>
      <c r="G148" s="146">
        <v>0.4</v>
      </c>
      <c r="H148" s="146">
        <v>9.8000000000000007</v>
      </c>
      <c r="I148" s="146">
        <v>42</v>
      </c>
      <c r="J148" s="146">
        <v>0.04</v>
      </c>
      <c r="K148" s="146">
        <v>0.02</v>
      </c>
      <c r="L148" s="146">
        <v>10</v>
      </c>
      <c r="M148" s="146">
        <v>0</v>
      </c>
      <c r="N148" s="146">
        <v>0.2</v>
      </c>
      <c r="O148" s="146">
        <v>16</v>
      </c>
      <c r="P148" s="146">
        <v>11</v>
      </c>
      <c r="Q148" s="146">
        <v>0</v>
      </c>
      <c r="R148" s="146">
        <v>0</v>
      </c>
      <c r="S148" s="146">
        <v>9</v>
      </c>
      <c r="T148" s="146">
        <v>2.2000000000000002</v>
      </c>
    </row>
    <row r="149" spans="2:20" ht="19.5" customHeight="1">
      <c r="B149" s="146">
        <v>376</v>
      </c>
      <c r="C149" s="316" t="s">
        <v>57</v>
      </c>
      <c r="D149" s="316"/>
      <c r="E149" s="146">
        <v>200</v>
      </c>
      <c r="F149" s="146">
        <v>0.2</v>
      </c>
      <c r="G149" s="146">
        <v>0.05</v>
      </c>
      <c r="H149" s="146">
        <v>15.01</v>
      </c>
      <c r="I149" s="146">
        <v>61</v>
      </c>
      <c r="J149" s="146">
        <v>0</v>
      </c>
      <c r="K149" s="146">
        <v>0.01</v>
      </c>
      <c r="L149" s="146">
        <v>9</v>
      </c>
      <c r="M149" s="146">
        <v>1E-4</v>
      </c>
      <c r="N149" s="146">
        <v>4.4999999999999998E-2</v>
      </c>
      <c r="O149" s="146">
        <v>5.25</v>
      </c>
      <c r="P149" s="146">
        <v>8.24</v>
      </c>
      <c r="Q149" s="146">
        <v>8.0000000000000002E-3</v>
      </c>
      <c r="R149" s="146">
        <v>0</v>
      </c>
      <c r="S149" s="146">
        <v>4.4000000000000004</v>
      </c>
      <c r="T149" s="146">
        <v>0.87</v>
      </c>
    </row>
    <row r="150" spans="2:20" ht="18.75" customHeight="1">
      <c r="B150" s="146" t="s">
        <v>270</v>
      </c>
      <c r="C150" s="316" t="s">
        <v>326</v>
      </c>
      <c r="D150" s="316"/>
      <c r="E150" s="146">
        <v>40</v>
      </c>
      <c r="F150" s="146">
        <v>2.67</v>
      </c>
      <c r="G150" s="146">
        <v>0.53</v>
      </c>
      <c r="H150" s="146">
        <v>13.73</v>
      </c>
      <c r="I150" s="146">
        <v>70.400000000000006</v>
      </c>
      <c r="J150" s="146">
        <v>0.13</v>
      </c>
      <c r="K150" s="146">
        <v>1.2999999999999999E-2</v>
      </c>
      <c r="L150" s="146">
        <v>0.1</v>
      </c>
      <c r="M150" s="146">
        <v>0</v>
      </c>
      <c r="N150" s="146">
        <v>0.93</v>
      </c>
      <c r="O150" s="146">
        <v>14</v>
      </c>
      <c r="P150" s="146">
        <v>63.2</v>
      </c>
      <c r="Q150" s="146">
        <v>1.2999999999999999E-2</v>
      </c>
      <c r="R150" s="146">
        <v>1.2999999999999999E-2</v>
      </c>
      <c r="S150" s="146">
        <v>18.8</v>
      </c>
      <c r="T150" s="146">
        <v>1.6</v>
      </c>
    </row>
    <row r="151" spans="2:20">
      <c r="B151" s="317" t="s">
        <v>264</v>
      </c>
      <c r="C151" s="317"/>
      <c r="D151" s="317"/>
      <c r="E151" s="147">
        <f t="shared" ref="E151:T151" si="45">SUM(E147:E150)</f>
        <v>540</v>
      </c>
      <c r="F151" s="147">
        <f t="shared" si="45"/>
        <v>19.559999999999995</v>
      </c>
      <c r="G151" s="147">
        <f t="shared" si="45"/>
        <v>19.97</v>
      </c>
      <c r="H151" s="147">
        <f t="shared" si="45"/>
        <v>43.58</v>
      </c>
      <c r="I151" s="147">
        <f t="shared" si="45"/>
        <v>428.4</v>
      </c>
      <c r="J151" s="147">
        <f t="shared" si="45"/>
        <v>0.29000000000000004</v>
      </c>
      <c r="K151" s="147">
        <f t="shared" si="45"/>
        <v>0.31300000000000006</v>
      </c>
      <c r="L151" s="147">
        <f t="shared" si="45"/>
        <v>19.420000000000002</v>
      </c>
      <c r="M151" s="147">
        <f t="shared" si="45"/>
        <v>4.0100000000000004E-2</v>
      </c>
      <c r="N151" s="147">
        <f t="shared" si="45"/>
        <v>3.1150000000000002</v>
      </c>
      <c r="O151" s="147">
        <f t="shared" si="45"/>
        <v>166.63</v>
      </c>
      <c r="P151" s="147">
        <f t="shared" si="45"/>
        <v>330.94</v>
      </c>
      <c r="Q151" s="147">
        <f t="shared" si="45"/>
        <v>1.371</v>
      </c>
      <c r="R151" s="147">
        <f t="shared" si="45"/>
        <v>4.2999999999999997E-2</v>
      </c>
      <c r="S151" s="147">
        <f t="shared" si="45"/>
        <v>53.75</v>
      </c>
      <c r="T151" s="147">
        <f t="shared" si="45"/>
        <v>6.18</v>
      </c>
    </row>
    <row r="152" spans="2:20">
      <c r="B152" s="317" t="s">
        <v>265</v>
      </c>
      <c r="C152" s="317"/>
      <c r="D152" s="317"/>
      <c r="E152" s="317"/>
      <c r="F152" s="142">
        <f>F151/F169</f>
        <v>0.25402597402597399</v>
      </c>
      <c r="G152" s="142">
        <f t="shared" ref="G152:T152" si="46">G151/G169</f>
        <v>0.25278481012658227</v>
      </c>
      <c r="H152" s="142">
        <f t="shared" si="46"/>
        <v>0.13008955223880597</v>
      </c>
      <c r="I152" s="142">
        <f t="shared" si="46"/>
        <v>0.18229787234042552</v>
      </c>
      <c r="J152" s="142">
        <f t="shared" si="46"/>
        <v>0.2416666666666667</v>
      </c>
      <c r="K152" s="142">
        <f t="shared" si="46"/>
        <v>0.22357142857142862</v>
      </c>
      <c r="L152" s="142">
        <f t="shared" si="46"/>
        <v>0.32366666666666671</v>
      </c>
      <c r="M152" s="142">
        <f t="shared" si="46"/>
        <v>5.7285714285714294E-2</v>
      </c>
      <c r="N152" s="142">
        <f t="shared" si="46"/>
        <v>0.3115</v>
      </c>
      <c r="O152" s="142">
        <f t="shared" si="46"/>
        <v>0.15148181818181819</v>
      </c>
      <c r="P152" s="142">
        <f t="shared" si="46"/>
        <v>0.30085454545454543</v>
      </c>
      <c r="Q152" s="142">
        <f t="shared" si="46"/>
        <v>0.1371</v>
      </c>
      <c r="R152" s="142">
        <f t="shared" si="46"/>
        <v>0.42999999999999994</v>
      </c>
      <c r="S152" s="142">
        <f t="shared" si="46"/>
        <v>0.215</v>
      </c>
      <c r="T152" s="142">
        <f t="shared" si="46"/>
        <v>0.51500000000000001</v>
      </c>
    </row>
    <row r="153" spans="2:20">
      <c r="B153" s="317" t="s">
        <v>266</v>
      </c>
      <c r="C153" s="317"/>
      <c r="D153" s="317"/>
      <c r="E153" s="317"/>
      <c r="F153" s="317"/>
      <c r="G153" s="317"/>
      <c r="H153" s="317"/>
      <c r="I153" s="317"/>
      <c r="J153" s="317"/>
      <c r="K153" s="317"/>
      <c r="L153" s="317"/>
      <c r="M153" s="317"/>
      <c r="N153" s="317"/>
      <c r="O153" s="317"/>
      <c r="P153" s="317"/>
      <c r="Q153" s="317"/>
      <c r="R153" s="317"/>
      <c r="S153" s="317"/>
      <c r="T153" s="317"/>
    </row>
    <row r="154" spans="2:20" ht="27" customHeight="1">
      <c r="B154" s="146">
        <v>52</v>
      </c>
      <c r="C154" s="316" t="s">
        <v>136</v>
      </c>
      <c r="D154" s="316"/>
      <c r="E154" s="146">
        <v>60</v>
      </c>
      <c r="F154" s="146">
        <v>0.86</v>
      </c>
      <c r="G154" s="146">
        <v>3.05</v>
      </c>
      <c r="H154" s="146">
        <v>5.13</v>
      </c>
      <c r="I154" s="146">
        <v>50.13</v>
      </c>
      <c r="J154" s="146">
        <v>0.01</v>
      </c>
      <c r="K154" s="146">
        <v>0.02</v>
      </c>
      <c r="L154" s="146">
        <v>5.7</v>
      </c>
      <c r="M154" s="146">
        <v>0.01</v>
      </c>
      <c r="N154" s="146">
        <v>0.1</v>
      </c>
      <c r="O154" s="146">
        <v>26.61</v>
      </c>
      <c r="P154" s="146">
        <v>25.64</v>
      </c>
      <c r="Q154" s="146">
        <v>0.43</v>
      </c>
      <c r="R154" s="146">
        <v>0.01</v>
      </c>
      <c r="S154" s="146">
        <v>12.9</v>
      </c>
      <c r="T154" s="146">
        <v>0.84</v>
      </c>
    </row>
    <row r="155" spans="2:20" ht="27" customHeight="1">
      <c r="B155" s="146" t="s">
        <v>344</v>
      </c>
      <c r="C155" s="316" t="s">
        <v>218</v>
      </c>
      <c r="D155" s="316"/>
      <c r="E155" s="146">
        <v>200</v>
      </c>
      <c r="F155" s="146">
        <v>2.1</v>
      </c>
      <c r="G155" s="146">
        <v>2.1</v>
      </c>
      <c r="H155" s="146">
        <v>15.5</v>
      </c>
      <c r="I155" s="146">
        <v>90</v>
      </c>
      <c r="J155" s="146">
        <v>0.08</v>
      </c>
      <c r="K155" s="146">
        <v>0.04</v>
      </c>
      <c r="L155" s="146">
        <v>5.6</v>
      </c>
      <c r="M155" s="146">
        <v>0.08</v>
      </c>
      <c r="N155" s="146"/>
      <c r="O155" s="146">
        <v>12.64</v>
      </c>
      <c r="P155" s="146">
        <v>0</v>
      </c>
      <c r="Q155" s="146"/>
      <c r="R155" s="146">
        <v>0</v>
      </c>
      <c r="S155" s="146">
        <v>19.2</v>
      </c>
      <c r="T155" s="146">
        <v>0.72</v>
      </c>
    </row>
    <row r="156" spans="2:20" ht="29.25" customHeight="1">
      <c r="B156" s="146">
        <v>295</v>
      </c>
      <c r="C156" s="316" t="s">
        <v>181</v>
      </c>
      <c r="D156" s="316"/>
      <c r="E156" s="146">
        <v>90</v>
      </c>
      <c r="F156" s="146">
        <v>13.7</v>
      </c>
      <c r="G156" s="146">
        <v>5.2</v>
      </c>
      <c r="H156" s="146">
        <v>9.1</v>
      </c>
      <c r="I156" s="146">
        <v>138.41999999999999</v>
      </c>
      <c r="J156" s="146">
        <v>8.1000000000000003E-2</v>
      </c>
      <c r="K156" s="146">
        <v>7.0000000000000007E-2</v>
      </c>
      <c r="L156" s="146">
        <v>0.22</v>
      </c>
      <c r="M156" s="146">
        <v>8.9999999999999998E-4</v>
      </c>
      <c r="N156" s="146">
        <v>6.6600000000000006E-2</v>
      </c>
      <c r="O156" s="146">
        <v>12.6</v>
      </c>
      <c r="P156" s="146">
        <v>84.6</v>
      </c>
      <c r="Q156" s="146">
        <v>1.05</v>
      </c>
      <c r="R156" s="146">
        <v>3.5999999999999997E-2</v>
      </c>
      <c r="S156" s="146">
        <v>14.6</v>
      </c>
      <c r="T156" s="146">
        <v>1.7</v>
      </c>
    </row>
    <row r="157" spans="2:20">
      <c r="B157" s="146" t="s">
        <v>345</v>
      </c>
      <c r="C157" s="316" t="s">
        <v>228</v>
      </c>
      <c r="D157" s="316"/>
      <c r="E157" s="146">
        <v>150</v>
      </c>
      <c r="F157" s="146">
        <v>3.6</v>
      </c>
      <c r="G157" s="146">
        <v>3.51</v>
      </c>
      <c r="H157" s="146">
        <v>36.630000000000003</v>
      </c>
      <c r="I157" s="146">
        <v>195.78</v>
      </c>
      <c r="J157" s="146">
        <v>0.08</v>
      </c>
      <c r="K157" s="146">
        <v>0.06</v>
      </c>
      <c r="L157" s="146">
        <v>8.27</v>
      </c>
      <c r="M157" s="146">
        <v>0.08</v>
      </c>
      <c r="N157" s="146"/>
      <c r="O157" s="146">
        <v>53.87</v>
      </c>
      <c r="P157" s="146">
        <v>0</v>
      </c>
      <c r="Q157" s="146"/>
      <c r="R157" s="146">
        <v>0</v>
      </c>
      <c r="S157" s="146">
        <v>58.83</v>
      </c>
      <c r="T157" s="146">
        <v>1.19</v>
      </c>
    </row>
    <row r="158" spans="2:20" ht="15.75" customHeight="1">
      <c r="B158" s="146">
        <v>377</v>
      </c>
      <c r="C158" s="316" t="s">
        <v>70</v>
      </c>
      <c r="D158" s="316"/>
      <c r="E158" s="146" t="s">
        <v>72</v>
      </c>
      <c r="F158" s="146">
        <v>0.26</v>
      </c>
      <c r="G158" s="146">
        <v>0.06</v>
      </c>
      <c r="H158" s="146">
        <v>15.22</v>
      </c>
      <c r="I158" s="146">
        <v>62.5</v>
      </c>
      <c r="J158" s="146"/>
      <c r="K158" s="146">
        <v>0.01</v>
      </c>
      <c r="L158" s="146">
        <v>2.9</v>
      </c>
      <c r="M158" s="146">
        <v>0</v>
      </c>
      <c r="N158" s="146">
        <v>0.06</v>
      </c>
      <c r="O158" s="146">
        <v>8.0500000000000007</v>
      </c>
      <c r="P158" s="146">
        <v>9.7799999999999994</v>
      </c>
      <c r="Q158" s="146">
        <v>1.7000000000000001E-2</v>
      </c>
      <c r="R158" s="146">
        <v>0</v>
      </c>
      <c r="S158" s="146">
        <v>5.24</v>
      </c>
      <c r="T158" s="146">
        <v>0.87</v>
      </c>
    </row>
    <row r="159" spans="2:20" ht="19.5" customHeight="1">
      <c r="B159" s="146" t="s">
        <v>270</v>
      </c>
      <c r="C159" s="316" t="s">
        <v>135</v>
      </c>
      <c r="D159" s="316"/>
      <c r="E159" s="146">
        <v>40</v>
      </c>
      <c r="F159" s="146">
        <v>2.64</v>
      </c>
      <c r="G159" s="146">
        <v>0.48</v>
      </c>
      <c r="H159" s="146">
        <v>13.68</v>
      </c>
      <c r="I159" s="146">
        <v>66.2</v>
      </c>
      <c r="J159" s="146">
        <v>0.08</v>
      </c>
      <c r="K159" s="146">
        <v>0.04</v>
      </c>
      <c r="L159" s="146">
        <v>0</v>
      </c>
      <c r="M159" s="146">
        <v>0</v>
      </c>
      <c r="N159" s="146">
        <v>2.4</v>
      </c>
      <c r="O159" s="146">
        <v>14</v>
      </c>
      <c r="P159" s="146">
        <v>63.2</v>
      </c>
      <c r="Q159" s="146">
        <v>1.2</v>
      </c>
      <c r="R159" s="146">
        <v>1E-3</v>
      </c>
      <c r="S159" s="146">
        <v>9.4</v>
      </c>
      <c r="T159" s="146">
        <v>0.78</v>
      </c>
    </row>
    <row r="160" spans="2:20">
      <c r="B160" s="146" t="s">
        <v>270</v>
      </c>
      <c r="C160" s="316" t="s">
        <v>35</v>
      </c>
      <c r="D160" s="316"/>
      <c r="E160" s="146">
        <v>30</v>
      </c>
      <c r="F160" s="146">
        <v>1.52</v>
      </c>
      <c r="G160" s="146">
        <v>0.16</v>
      </c>
      <c r="H160" s="146">
        <v>9.84</v>
      </c>
      <c r="I160" s="146">
        <v>44.4</v>
      </c>
      <c r="J160" s="146">
        <v>0.02</v>
      </c>
      <c r="K160" s="146">
        <v>0.01</v>
      </c>
      <c r="L160" s="146">
        <v>0.44</v>
      </c>
      <c r="M160" s="146">
        <v>0</v>
      </c>
      <c r="N160" s="146">
        <v>0.7</v>
      </c>
      <c r="O160" s="146">
        <v>4</v>
      </c>
      <c r="P160" s="146">
        <v>13</v>
      </c>
      <c r="Q160" s="146">
        <v>8.0000000000000002E-3</v>
      </c>
      <c r="R160" s="146">
        <v>1E-3</v>
      </c>
      <c r="S160" s="146">
        <v>0</v>
      </c>
      <c r="T160" s="146">
        <v>0.22</v>
      </c>
    </row>
    <row r="161" spans="2:20" ht="29.25" customHeight="1">
      <c r="B161" s="317" t="s">
        <v>271</v>
      </c>
      <c r="C161" s="317"/>
      <c r="D161" s="317"/>
      <c r="E161" s="147">
        <f>E154+E155+E156+E157+E159+E160+204</f>
        <v>774</v>
      </c>
      <c r="F161" s="147">
        <f>SUM(F154:F160)</f>
        <v>24.680000000000003</v>
      </c>
      <c r="G161" s="147">
        <f t="shared" ref="G161:T161" si="47">SUM(G154:G160)</f>
        <v>14.560000000000002</v>
      </c>
      <c r="H161" s="147">
        <f t="shared" si="47"/>
        <v>105.1</v>
      </c>
      <c r="I161" s="147">
        <f t="shared" si="47"/>
        <v>647.42999999999995</v>
      </c>
      <c r="J161" s="147">
        <f t="shared" si="47"/>
        <v>0.35100000000000003</v>
      </c>
      <c r="K161" s="147">
        <f t="shared" si="47"/>
        <v>0.25</v>
      </c>
      <c r="L161" s="147">
        <f t="shared" si="47"/>
        <v>23.13</v>
      </c>
      <c r="M161" s="147">
        <f t="shared" si="47"/>
        <v>0.1709</v>
      </c>
      <c r="N161" s="147">
        <f t="shared" si="47"/>
        <v>3.3266</v>
      </c>
      <c r="O161" s="147">
        <f t="shared" si="47"/>
        <v>131.76999999999998</v>
      </c>
      <c r="P161" s="147">
        <f t="shared" si="47"/>
        <v>196.22</v>
      </c>
      <c r="Q161" s="147">
        <f t="shared" si="47"/>
        <v>2.7050000000000001</v>
      </c>
      <c r="R161" s="147">
        <f t="shared" si="47"/>
        <v>4.8000000000000001E-2</v>
      </c>
      <c r="S161" s="147">
        <f t="shared" si="47"/>
        <v>120.17</v>
      </c>
      <c r="T161" s="147">
        <f t="shared" si="47"/>
        <v>6.3199999999999994</v>
      </c>
    </row>
    <row r="162" spans="2:20">
      <c r="B162" s="317" t="s">
        <v>265</v>
      </c>
      <c r="C162" s="317"/>
      <c r="D162" s="317"/>
      <c r="E162" s="317"/>
      <c r="F162" s="142">
        <f>F161/F169</f>
        <v>0.32051948051948054</v>
      </c>
      <c r="G162" s="142">
        <f t="shared" ref="G162:T162" si="48">G161/G169</f>
        <v>0.18430379746835446</v>
      </c>
      <c r="H162" s="142">
        <f t="shared" si="48"/>
        <v>0.3137313432835821</v>
      </c>
      <c r="I162" s="142">
        <f t="shared" si="48"/>
        <v>0.27550212765957444</v>
      </c>
      <c r="J162" s="142">
        <f t="shared" si="48"/>
        <v>0.29250000000000004</v>
      </c>
      <c r="K162" s="142">
        <f t="shared" si="48"/>
        <v>0.17857142857142858</v>
      </c>
      <c r="L162" s="142">
        <f t="shared" si="48"/>
        <v>0.38550000000000001</v>
      </c>
      <c r="M162" s="142">
        <f t="shared" si="48"/>
        <v>0.24414285714285716</v>
      </c>
      <c r="N162" s="142">
        <f t="shared" si="48"/>
        <v>0.33266000000000001</v>
      </c>
      <c r="O162" s="142">
        <f t="shared" si="48"/>
        <v>0.11979090909090907</v>
      </c>
      <c r="P162" s="142">
        <f t="shared" si="48"/>
        <v>0.17838181818181817</v>
      </c>
      <c r="Q162" s="142">
        <f t="shared" si="48"/>
        <v>0.27050000000000002</v>
      </c>
      <c r="R162" s="142">
        <f t="shared" si="48"/>
        <v>0.48</v>
      </c>
      <c r="S162" s="142">
        <f t="shared" si="48"/>
        <v>0.48068</v>
      </c>
      <c r="T162" s="142">
        <f t="shared" si="48"/>
        <v>0.52666666666666662</v>
      </c>
    </row>
    <row r="163" spans="2:20">
      <c r="B163" s="317" t="s">
        <v>272</v>
      </c>
      <c r="C163" s="317"/>
      <c r="D163" s="317"/>
      <c r="E163" s="317"/>
      <c r="F163" s="317"/>
      <c r="G163" s="317"/>
      <c r="H163" s="317"/>
      <c r="I163" s="317"/>
      <c r="J163" s="317"/>
      <c r="K163" s="317"/>
      <c r="L163" s="317"/>
      <c r="M163" s="317"/>
      <c r="N163" s="317"/>
      <c r="O163" s="317"/>
      <c r="P163" s="317"/>
      <c r="Q163" s="317"/>
      <c r="R163" s="317"/>
      <c r="S163" s="317"/>
      <c r="T163" s="317"/>
    </row>
    <row r="164" spans="2:20" ht="15" customHeight="1">
      <c r="B164" s="153" t="s">
        <v>270</v>
      </c>
      <c r="C164" s="315" t="s">
        <v>400</v>
      </c>
      <c r="D164" s="315"/>
      <c r="E164" s="153">
        <v>100</v>
      </c>
      <c r="F164" s="153">
        <v>7.86</v>
      </c>
      <c r="G164" s="153">
        <v>5.57</v>
      </c>
      <c r="H164" s="153">
        <v>53.71</v>
      </c>
      <c r="I164" s="153">
        <v>297.14</v>
      </c>
      <c r="J164" s="153">
        <v>0.1</v>
      </c>
      <c r="K164" s="153">
        <v>0.04</v>
      </c>
      <c r="L164" s="153">
        <v>0</v>
      </c>
      <c r="M164" s="153">
        <v>0.1</v>
      </c>
      <c r="N164" s="153"/>
      <c r="O164" s="153">
        <v>16.170000000000002</v>
      </c>
      <c r="P164" s="153">
        <v>0</v>
      </c>
      <c r="Q164" s="153">
        <v>0</v>
      </c>
      <c r="R164" s="153">
        <v>0</v>
      </c>
      <c r="S164" s="153">
        <v>11.19</v>
      </c>
      <c r="T164" s="153">
        <v>0.9</v>
      </c>
    </row>
    <row r="165" spans="2:20" ht="27.75" customHeight="1">
      <c r="B165" s="153">
        <v>648</v>
      </c>
      <c r="C165" s="315" t="s">
        <v>219</v>
      </c>
      <c r="D165" s="315"/>
      <c r="E165" s="153">
        <v>200</v>
      </c>
      <c r="F165" s="153">
        <v>0</v>
      </c>
      <c r="G165" s="153">
        <v>0</v>
      </c>
      <c r="H165" s="153">
        <v>20</v>
      </c>
      <c r="I165" s="153">
        <v>76</v>
      </c>
      <c r="J165" s="153">
        <v>0</v>
      </c>
      <c r="K165" s="153">
        <v>0</v>
      </c>
      <c r="L165" s="153">
        <v>0</v>
      </c>
      <c r="M165" s="153">
        <v>0</v>
      </c>
      <c r="N165" s="153"/>
      <c r="O165" s="153">
        <v>0.48</v>
      </c>
      <c r="P165" s="153">
        <v>0</v>
      </c>
      <c r="Q165" s="153">
        <v>0</v>
      </c>
      <c r="R165" s="153">
        <v>0</v>
      </c>
      <c r="S165" s="153">
        <v>0</v>
      </c>
      <c r="T165" s="153">
        <v>0.06</v>
      </c>
    </row>
    <row r="166" spans="2:20" ht="15" customHeight="1">
      <c r="B166" s="312" t="s">
        <v>274</v>
      </c>
      <c r="C166" s="313"/>
      <c r="D166" s="314"/>
      <c r="E166" s="164">
        <f>E164+E165</f>
        <v>300</v>
      </c>
      <c r="F166" s="164">
        <f t="shared" ref="F166:T166" si="49">F164+F165</f>
        <v>7.86</v>
      </c>
      <c r="G166" s="164">
        <f t="shared" si="49"/>
        <v>5.57</v>
      </c>
      <c r="H166" s="164">
        <f t="shared" si="49"/>
        <v>73.710000000000008</v>
      </c>
      <c r="I166" s="164">
        <f t="shared" si="49"/>
        <v>373.14</v>
      </c>
      <c r="J166" s="164">
        <f t="shared" si="49"/>
        <v>0.1</v>
      </c>
      <c r="K166" s="164">
        <f t="shared" si="49"/>
        <v>0.04</v>
      </c>
      <c r="L166" s="164">
        <f t="shared" si="49"/>
        <v>0</v>
      </c>
      <c r="M166" s="164">
        <f t="shared" si="49"/>
        <v>0.1</v>
      </c>
      <c r="N166" s="164">
        <f t="shared" si="49"/>
        <v>0</v>
      </c>
      <c r="O166" s="164">
        <f t="shared" si="49"/>
        <v>16.650000000000002</v>
      </c>
      <c r="P166" s="164">
        <f t="shared" si="49"/>
        <v>0</v>
      </c>
      <c r="Q166" s="164">
        <f t="shared" si="49"/>
        <v>0</v>
      </c>
      <c r="R166" s="164">
        <f t="shared" si="49"/>
        <v>0</v>
      </c>
      <c r="S166" s="164">
        <f t="shared" si="49"/>
        <v>11.19</v>
      </c>
      <c r="T166" s="164">
        <f t="shared" si="49"/>
        <v>0.96</v>
      </c>
    </row>
    <row r="167" spans="2:20">
      <c r="B167" s="317" t="s">
        <v>265</v>
      </c>
      <c r="C167" s="317"/>
      <c r="D167" s="317"/>
      <c r="E167" s="317"/>
      <c r="F167" s="142">
        <f>F166/F169</f>
        <v>0.10207792207792209</v>
      </c>
      <c r="G167" s="142">
        <f t="shared" ref="G167:T167" si="50">G166/G169</f>
        <v>7.0506329113924057E-2</v>
      </c>
      <c r="H167" s="142">
        <f t="shared" si="50"/>
        <v>0.22002985074626868</v>
      </c>
      <c r="I167" s="142">
        <f t="shared" si="50"/>
        <v>0.15878297872340424</v>
      </c>
      <c r="J167" s="142">
        <f t="shared" si="50"/>
        <v>8.3333333333333343E-2</v>
      </c>
      <c r="K167" s="142">
        <f t="shared" si="50"/>
        <v>2.8571428571428574E-2</v>
      </c>
      <c r="L167" s="142">
        <f t="shared" si="50"/>
        <v>0</v>
      </c>
      <c r="M167" s="142">
        <f t="shared" si="50"/>
        <v>0.14285714285714288</v>
      </c>
      <c r="N167" s="142">
        <f t="shared" si="50"/>
        <v>0</v>
      </c>
      <c r="O167" s="142">
        <f t="shared" si="50"/>
        <v>1.5136363636363639E-2</v>
      </c>
      <c r="P167" s="142">
        <f t="shared" si="50"/>
        <v>0</v>
      </c>
      <c r="Q167" s="142">
        <f t="shared" si="50"/>
        <v>0</v>
      </c>
      <c r="R167" s="142">
        <f t="shared" si="50"/>
        <v>0</v>
      </c>
      <c r="S167" s="142">
        <f t="shared" si="50"/>
        <v>4.4760000000000001E-2</v>
      </c>
      <c r="T167" s="142">
        <f t="shared" si="50"/>
        <v>0.08</v>
      </c>
    </row>
    <row r="168" spans="2:20">
      <c r="B168" s="317" t="s">
        <v>275</v>
      </c>
      <c r="C168" s="317"/>
      <c r="D168" s="317"/>
      <c r="E168" s="317"/>
      <c r="F168" s="147">
        <f>F166+F161+F151</f>
        <v>52.1</v>
      </c>
      <c r="G168" s="147">
        <f t="shared" ref="G168:T168" si="51">G166+G161+G151</f>
        <v>40.1</v>
      </c>
      <c r="H168" s="147">
        <f t="shared" si="51"/>
        <v>222.39</v>
      </c>
      <c r="I168" s="147">
        <f t="shared" si="51"/>
        <v>1448.9699999999998</v>
      </c>
      <c r="J168" s="147">
        <f t="shared" si="51"/>
        <v>0.7410000000000001</v>
      </c>
      <c r="K168" s="147">
        <f t="shared" si="51"/>
        <v>0.60299999999999998</v>
      </c>
      <c r="L168" s="147">
        <f t="shared" si="51"/>
        <v>42.55</v>
      </c>
      <c r="M168" s="147">
        <f t="shared" si="51"/>
        <v>0.31100000000000005</v>
      </c>
      <c r="N168" s="147">
        <f t="shared" si="51"/>
        <v>6.4416000000000002</v>
      </c>
      <c r="O168" s="147">
        <f t="shared" si="51"/>
        <v>315.04999999999995</v>
      </c>
      <c r="P168" s="147">
        <f t="shared" si="51"/>
        <v>527.16</v>
      </c>
      <c r="Q168" s="147">
        <f t="shared" si="51"/>
        <v>4.0760000000000005</v>
      </c>
      <c r="R168" s="147">
        <f t="shared" si="51"/>
        <v>9.0999999999999998E-2</v>
      </c>
      <c r="S168" s="147">
        <f t="shared" si="51"/>
        <v>185.11</v>
      </c>
      <c r="T168" s="147">
        <f t="shared" si="51"/>
        <v>13.459999999999999</v>
      </c>
    </row>
    <row r="169" spans="2:20">
      <c r="B169" s="317" t="s">
        <v>276</v>
      </c>
      <c r="C169" s="317"/>
      <c r="D169" s="317"/>
      <c r="E169" s="317"/>
      <c r="F169" s="146">
        <v>77</v>
      </c>
      <c r="G169" s="146">
        <v>79</v>
      </c>
      <c r="H169" s="146">
        <v>335</v>
      </c>
      <c r="I169" s="146">
        <v>2350</v>
      </c>
      <c r="J169" s="146">
        <v>1.2</v>
      </c>
      <c r="K169" s="146">
        <v>1.4</v>
      </c>
      <c r="L169" s="146">
        <v>60</v>
      </c>
      <c r="M169" s="146">
        <v>0.7</v>
      </c>
      <c r="N169" s="146">
        <v>10</v>
      </c>
      <c r="O169" s="146">
        <v>1100</v>
      </c>
      <c r="P169" s="146">
        <v>1100</v>
      </c>
      <c r="Q169" s="146">
        <v>10</v>
      </c>
      <c r="R169" s="146">
        <v>0.1</v>
      </c>
      <c r="S169" s="146">
        <v>250</v>
      </c>
      <c r="T169" s="146">
        <v>12</v>
      </c>
    </row>
    <row r="170" spans="2:20">
      <c r="B170" s="317" t="s">
        <v>265</v>
      </c>
      <c r="C170" s="317"/>
      <c r="D170" s="317"/>
      <c r="E170" s="317"/>
      <c r="F170" s="142">
        <f>F168/F169</f>
        <v>0.67662337662337668</v>
      </c>
      <c r="G170" s="142">
        <f t="shared" ref="G170:T170" si="52">G168/G169</f>
        <v>0.5075949367088608</v>
      </c>
      <c r="H170" s="142">
        <f t="shared" si="52"/>
        <v>0.6638507462686567</v>
      </c>
      <c r="I170" s="142">
        <f t="shared" si="52"/>
        <v>0.61658297872340417</v>
      </c>
      <c r="J170" s="142">
        <f t="shared" si="52"/>
        <v>0.61750000000000016</v>
      </c>
      <c r="K170" s="142">
        <f t="shared" si="52"/>
        <v>0.43071428571428572</v>
      </c>
      <c r="L170" s="142">
        <f t="shared" si="52"/>
        <v>0.70916666666666661</v>
      </c>
      <c r="M170" s="142">
        <f t="shared" si="52"/>
        <v>0.44428571428571439</v>
      </c>
      <c r="N170" s="142">
        <f t="shared" si="52"/>
        <v>0.64416000000000007</v>
      </c>
      <c r="O170" s="142">
        <f t="shared" si="52"/>
        <v>0.28640909090909089</v>
      </c>
      <c r="P170" s="142">
        <f t="shared" si="52"/>
        <v>0.47923636363636363</v>
      </c>
      <c r="Q170" s="142">
        <f t="shared" si="52"/>
        <v>0.40760000000000007</v>
      </c>
      <c r="R170" s="142">
        <f t="shared" si="52"/>
        <v>0.90999999999999992</v>
      </c>
      <c r="S170" s="142">
        <f t="shared" si="52"/>
        <v>0.7404400000000001</v>
      </c>
      <c r="T170" s="142">
        <f t="shared" si="52"/>
        <v>1.1216666666666666</v>
      </c>
    </row>
    <row r="171" spans="2:20">
      <c r="B171" s="311" t="s">
        <v>412</v>
      </c>
      <c r="C171" s="311"/>
      <c r="D171" s="311"/>
      <c r="E171" s="311"/>
      <c r="F171" s="147">
        <f>(F14+F51+F86+F119+F151)/5</f>
        <v>22.576000000000001</v>
      </c>
      <c r="G171" s="147">
        <f t="shared" ref="G171:T171" si="53">(G14+G51+G86+G119+G151)/5</f>
        <v>18.675999999999998</v>
      </c>
      <c r="H171" s="147">
        <f t="shared" si="53"/>
        <v>73.893999999999991</v>
      </c>
      <c r="I171" s="147">
        <f t="shared" si="53"/>
        <v>550.59199999999998</v>
      </c>
      <c r="J171" s="147">
        <f t="shared" si="53"/>
        <v>0.26179999999999998</v>
      </c>
      <c r="K171" s="147">
        <f t="shared" si="53"/>
        <v>0.32120000000000004</v>
      </c>
      <c r="L171" s="147">
        <f t="shared" si="53"/>
        <v>12.186</v>
      </c>
      <c r="M171" s="147">
        <f t="shared" si="53"/>
        <v>0.13584000000000002</v>
      </c>
      <c r="N171" s="147">
        <f t="shared" si="53"/>
        <v>2.0013999999999998</v>
      </c>
      <c r="O171" s="147">
        <f t="shared" si="53"/>
        <v>235.88400000000001</v>
      </c>
      <c r="P171" s="147">
        <f t="shared" si="53"/>
        <v>351.30799999999999</v>
      </c>
      <c r="Q171" s="147">
        <f t="shared" si="53"/>
        <v>1.9903999999999999</v>
      </c>
      <c r="R171" s="147">
        <f t="shared" si="53"/>
        <v>3.6400000000000002E-2</v>
      </c>
      <c r="S171" s="147">
        <f t="shared" si="53"/>
        <v>69.693999999999988</v>
      </c>
      <c r="T171" s="147">
        <f t="shared" si="53"/>
        <v>4.6560000000000006</v>
      </c>
    </row>
    <row r="172" spans="2:20">
      <c r="B172" s="311" t="s">
        <v>276</v>
      </c>
      <c r="C172" s="311"/>
      <c r="D172" s="311"/>
      <c r="E172" s="311"/>
      <c r="F172" s="146">
        <v>77</v>
      </c>
      <c r="G172" s="146">
        <v>79</v>
      </c>
      <c r="H172" s="146">
        <v>335</v>
      </c>
      <c r="I172" s="146">
        <v>2350</v>
      </c>
      <c r="J172" s="146">
        <v>1.2</v>
      </c>
      <c r="K172" s="146">
        <v>1.4</v>
      </c>
      <c r="L172" s="146">
        <v>60</v>
      </c>
      <c r="M172" s="146">
        <v>0.7</v>
      </c>
      <c r="N172" s="146">
        <v>10</v>
      </c>
      <c r="O172" s="146">
        <v>1100</v>
      </c>
      <c r="P172" s="146">
        <v>1100</v>
      </c>
      <c r="Q172" s="146">
        <v>10</v>
      </c>
      <c r="R172" s="146">
        <v>0.1</v>
      </c>
      <c r="S172" s="146">
        <v>250</v>
      </c>
      <c r="T172" s="146">
        <v>12</v>
      </c>
    </row>
    <row r="173" spans="2:20">
      <c r="B173" s="311" t="s">
        <v>265</v>
      </c>
      <c r="C173" s="311"/>
      <c r="D173" s="311"/>
      <c r="E173" s="311"/>
      <c r="F173" s="142">
        <f>F171/F172</f>
        <v>0.29319480519480517</v>
      </c>
      <c r="G173" s="142">
        <f t="shared" ref="G173:T173" si="54">G171/G172</f>
        <v>0.23640506329113922</v>
      </c>
      <c r="H173" s="142">
        <f t="shared" si="54"/>
        <v>0.22057910447761192</v>
      </c>
      <c r="I173" s="142">
        <f t="shared" si="54"/>
        <v>0.23429446808510637</v>
      </c>
      <c r="J173" s="142">
        <f t="shared" si="54"/>
        <v>0.21816666666666665</v>
      </c>
      <c r="K173" s="142">
        <f t="shared" si="54"/>
        <v>0.22942857142857148</v>
      </c>
      <c r="L173" s="142">
        <f t="shared" si="54"/>
        <v>0.2031</v>
      </c>
      <c r="M173" s="142">
        <f t="shared" si="54"/>
        <v>0.1940571428571429</v>
      </c>
      <c r="N173" s="142">
        <f t="shared" si="54"/>
        <v>0.20013999999999998</v>
      </c>
      <c r="O173" s="142">
        <f t="shared" si="54"/>
        <v>0.21444000000000002</v>
      </c>
      <c r="P173" s="142">
        <f t="shared" si="54"/>
        <v>0.31937090909090909</v>
      </c>
      <c r="Q173" s="142">
        <f t="shared" si="54"/>
        <v>0.19903999999999999</v>
      </c>
      <c r="R173" s="142">
        <f t="shared" si="54"/>
        <v>0.36399999999999999</v>
      </c>
      <c r="S173" s="142">
        <f t="shared" si="54"/>
        <v>0.27877599999999997</v>
      </c>
      <c r="T173" s="142">
        <f t="shared" si="54"/>
        <v>0.38800000000000007</v>
      </c>
    </row>
    <row r="174" spans="2:20">
      <c r="B174" s="311" t="s">
        <v>411</v>
      </c>
      <c r="C174" s="311"/>
      <c r="D174" s="311"/>
      <c r="E174" s="311"/>
      <c r="F174" s="147">
        <f>(F26+F61+F96+F129+F161)/5</f>
        <v>25.371000000000002</v>
      </c>
      <c r="G174" s="147">
        <f t="shared" ref="G174:T174" si="55">(G26+G61+G96+G129+G161)/5</f>
        <v>25.602199999999993</v>
      </c>
      <c r="H174" s="147">
        <f t="shared" si="55"/>
        <v>99.6738</v>
      </c>
      <c r="I174" s="147">
        <f t="shared" si="55"/>
        <v>731.78800000000001</v>
      </c>
      <c r="J174" s="147">
        <f t="shared" si="55"/>
        <v>0.56279999999999997</v>
      </c>
      <c r="K174" s="147">
        <f t="shared" si="55"/>
        <v>0.44679999999999997</v>
      </c>
      <c r="L174" s="147">
        <f t="shared" si="55"/>
        <v>33.012599999999999</v>
      </c>
      <c r="M174" s="147">
        <f t="shared" si="55"/>
        <v>0.54458000000000006</v>
      </c>
      <c r="N174" s="147">
        <f t="shared" si="55"/>
        <v>5.1898199999999992</v>
      </c>
      <c r="O174" s="147">
        <f t="shared" si="55"/>
        <v>146.1996</v>
      </c>
      <c r="P174" s="147">
        <f t="shared" si="55"/>
        <v>333.90819999999997</v>
      </c>
      <c r="Q174" s="147">
        <f t="shared" si="55"/>
        <v>2.5029999999999997</v>
      </c>
      <c r="R174" s="147">
        <f t="shared" si="55"/>
        <v>2.5984E-2</v>
      </c>
      <c r="S174" s="147">
        <f t="shared" si="55"/>
        <v>101.84740000000001</v>
      </c>
      <c r="T174" s="147">
        <f t="shared" si="55"/>
        <v>6.1899999999999995</v>
      </c>
    </row>
    <row r="175" spans="2:20">
      <c r="B175" s="311" t="s">
        <v>276</v>
      </c>
      <c r="C175" s="311"/>
      <c r="D175" s="311"/>
      <c r="E175" s="311"/>
      <c r="F175" s="146">
        <v>77</v>
      </c>
      <c r="G175" s="146">
        <v>79</v>
      </c>
      <c r="H175" s="146">
        <v>335</v>
      </c>
      <c r="I175" s="146">
        <v>2350</v>
      </c>
      <c r="J175" s="146">
        <v>1.2</v>
      </c>
      <c r="K175" s="146">
        <v>1.4</v>
      </c>
      <c r="L175" s="146">
        <v>60</v>
      </c>
      <c r="M175" s="146">
        <v>0.7</v>
      </c>
      <c r="N175" s="146">
        <v>10</v>
      </c>
      <c r="O175" s="146">
        <v>1100</v>
      </c>
      <c r="P175" s="146">
        <v>1100</v>
      </c>
      <c r="Q175" s="146">
        <v>10</v>
      </c>
      <c r="R175" s="146">
        <v>0.1</v>
      </c>
      <c r="S175" s="146">
        <v>250</v>
      </c>
      <c r="T175" s="146">
        <v>12</v>
      </c>
    </row>
    <row r="176" spans="2:20">
      <c r="B176" s="311" t="s">
        <v>265</v>
      </c>
      <c r="C176" s="311"/>
      <c r="D176" s="311"/>
      <c r="E176" s="311"/>
      <c r="F176" s="142">
        <f>F174/F175</f>
        <v>0.3294935064935065</v>
      </c>
      <c r="G176" s="142">
        <f t="shared" ref="G176:T176" si="56">G174/G175</f>
        <v>0.32407848101265813</v>
      </c>
      <c r="H176" s="142">
        <f t="shared" si="56"/>
        <v>0.29753373134328359</v>
      </c>
      <c r="I176" s="142">
        <f t="shared" si="56"/>
        <v>0.31139914893617021</v>
      </c>
      <c r="J176" s="142">
        <f t="shared" si="56"/>
        <v>0.46899999999999997</v>
      </c>
      <c r="K176" s="142">
        <f t="shared" si="56"/>
        <v>0.31914285714285717</v>
      </c>
      <c r="L176" s="142">
        <f t="shared" si="56"/>
        <v>0.55020999999999998</v>
      </c>
      <c r="M176" s="142">
        <f t="shared" si="56"/>
        <v>0.77797142857142876</v>
      </c>
      <c r="N176" s="142">
        <f t="shared" si="56"/>
        <v>0.51898199999999994</v>
      </c>
      <c r="O176" s="142">
        <f t="shared" si="56"/>
        <v>0.13290872727272729</v>
      </c>
      <c r="P176" s="142">
        <f t="shared" si="56"/>
        <v>0.30355290909090904</v>
      </c>
      <c r="Q176" s="142">
        <f t="shared" si="56"/>
        <v>0.25029999999999997</v>
      </c>
      <c r="R176" s="142">
        <f t="shared" si="56"/>
        <v>0.25983999999999996</v>
      </c>
      <c r="S176" s="142">
        <f t="shared" si="56"/>
        <v>0.40738960000000002</v>
      </c>
      <c r="T176" s="142">
        <f t="shared" si="56"/>
        <v>0.51583333333333325</v>
      </c>
    </row>
    <row r="177" spans="2:20">
      <c r="B177" s="311" t="s">
        <v>413</v>
      </c>
      <c r="C177" s="311"/>
      <c r="D177" s="311"/>
      <c r="E177" s="311"/>
      <c r="F177" s="179">
        <f>(F31+F66+F101+F134+F166)/5</f>
        <v>9.2379999999999995</v>
      </c>
      <c r="G177" s="179">
        <f t="shared" ref="G177:T177" si="57">(G31+G66+G101+G134+G166)/5</f>
        <v>7.330000000000001</v>
      </c>
      <c r="H177" s="179">
        <f t="shared" si="57"/>
        <v>63.372</v>
      </c>
      <c r="I177" s="179">
        <f t="shared" si="57"/>
        <v>356.19799999999998</v>
      </c>
      <c r="J177" s="179">
        <f t="shared" si="57"/>
        <v>0.1</v>
      </c>
      <c r="K177" s="179">
        <f t="shared" si="57"/>
        <v>0.14400000000000002</v>
      </c>
      <c r="L177" s="179">
        <f t="shared" si="57"/>
        <v>1.58</v>
      </c>
      <c r="M177" s="179">
        <f t="shared" si="57"/>
        <v>0.1</v>
      </c>
      <c r="N177" s="179">
        <f t="shared" si="57"/>
        <v>1.2199999999999999E-2</v>
      </c>
      <c r="O177" s="179">
        <f t="shared" si="57"/>
        <v>88.224000000000004</v>
      </c>
      <c r="P177" s="179">
        <f t="shared" si="57"/>
        <v>83.073999999999998</v>
      </c>
      <c r="Q177" s="179">
        <f t="shared" si="57"/>
        <v>8.4000000000000005E-2</v>
      </c>
      <c r="R177" s="179">
        <f t="shared" si="57"/>
        <v>2.0000000000000001E-4</v>
      </c>
      <c r="S177" s="179">
        <f t="shared" si="57"/>
        <v>21.898</v>
      </c>
      <c r="T177" s="179">
        <f t="shared" si="57"/>
        <v>1.4259999999999999</v>
      </c>
    </row>
    <row r="178" spans="2:20">
      <c r="B178" s="311" t="s">
        <v>276</v>
      </c>
      <c r="C178" s="311"/>
      <c r="D178" s="311"/>
      <c r="E178" s="311"/>
      <c r="F178" s="146">
        <v>77</v>
      </c>
      <c r="G178" s="146">
        <v>79</v>
      </c>
      <c r="H178" s="146">
        <v>335</v>
      </c>
      <c r="I178" s="146">
        <v>2350</v>
      </c>
      <c r="J178" s="146">
        <v>1.2</v>
      </c>
      <c r="K178" s="146">
        <v>1.4</v>
      </c>
      <c r="L178" s="146">
        <v>60</v>
      </c>
      <c r="M178" s="146">
        <v>0.7</v>
      </c>
      <c r="N178" s="146">
        <v>10</v>
      </c>
      <c r="O178" s="146">
        <v>1100</v>
      </c>
      <c r="P178" s="146">
        <v>1100</v>
      </c>
      <c r="Q178" s="146">
        <v>10</v>
      </c>
      <c r="R178" s="146">
        <v>0.1</v>
      </c>
      <c r="S178" s="146">
        <v>250</v>
      </c>
      <c r="T178" s="146">
        <v>12</v>
      </c>
    </row>
    <row r="179" spans="2:20">
      <c r="B179" s="311" t="s">
        <v>265</v>
      </c>
      <c r="C179" s="311"/>
      <c r="D179" s="311"/>
      <c r="E179" s="311"/>
      <c r="F179" s="142">
        <f>F177/F178</f>
        <v>0.11997402597402597</v>
      </c>
      <c r="G179" s="142">
        <f t="shared" ref="G179:T179" si="58">G177/G178</f>
        <v>9.2784810126582296E-2</v>
      </c>
      <c r="H179" s="142">
        <f t="shared" si="58"/>
        <v>0.18917014925373135</v>
      </c>
      <c r="I179" s="142">
        <f t="shared" si="58"/>
        <v>0.15157361702127659</v>
      </c>
      <c r="J179" s="142">
        <f t="shared" si="58"/>
        <v>8.3333333333333343E-2</v>
      </c>
      <c r="K179" s="142">
        <f t="shared" si="58"/>
        <v>0.10285714285714287</v>
      </c>
      <c r="L179" s="142">
        <f t="shared" si="58"/>
        <v>2.6333333333333334E-2</v>
      </c>
      <c r="M179" s="142">
        <f t="shared" si="58"/>
        <v>0.14285714285714288</v>
      </c>
      <c r="N179" s="142">
        <f t="shared" si="58"/>
        <v>1.2199999999999999E-3</v>
      </c>
      <c r="O179" s="142">
        <f t="shared" si="58"/>
        <v>8.0203636363636366E-2</v>
      </c>
      <c r="P179" s="142">
        <f t="shared" si="58"/>
        <v>7.5521818181818176E-2</v>
      </c>
      <c r="Q179" s="142">
        <f t="shared" si="58"/>
        <v>8.4000000000000012E-3</v>
      </c>
      <c r="R179" s="142">
        <f t="shared" si="58"/>
        <v>2E-3</v>
      </c>
      <c r="S179" s="142">
        <f t="shared" si="58"/>
        <v>8.7592000000000003E-2</v>
      </c>
      <c r="T179" s="142">
        <f t="shared" si="58"/>
        <v>0.11883333333333333</v>
      </c>
    </row>
    <row r="180" spans="2:20">
      <c r="B180" s="311" t="s">
        <v>415</v>
      </c>
      <c r="C180" s="311"/>
      <c r="D180" s="311"/>
      <c r="E180" s="311"/>
      <c r="F180" s="179">
        <f>F171+F174+F177</f>
        <v>57.185000000000002</v>
      </c>
      <c r="G180" s="179">
        <f t="shared" ref="G180:T180" si="59">G171+G174+G177</f>
        <v>51.608199999999989</v>
      </c>
      <c r="H180" s="179">
        <f t="shared" si="59"/>
        <v>236.93979999999999</v>
      </c>
      <c r="I180" s="179">
        <f t="shared" si="59"/>
        <v>1638.578</v>
      </c>
      <c r="J180" s="179">
        <f t="shared" si="59"/>
        <v>0.92459999999999998</v>
      </c>
      <c r="K180" s="179">
        <f t="shared" si="59"/>
        <v>0.91200000000000003</v>
      </c>
      <c r="L180" s="179">
        <f t="shared" si="59"/>
        <v>46.778599999999997</v>
      </c>
      <c r="M180" s="179">
        <f t="shared" si="59"/>
        <v>0.78042</v>
      </c>
      <c r="N180" s="179">
        <f t="shared" si="59"/>
        <v>7.2034199999999995</v>
      </c>
      <c r="O180" s="179">
        <f t="shared" si="59"/>
        <v>470.30760000000004</v>
      </c>
      <c r="P180" s="179">
        <f t="shared" si="59"/>
        <v>768.29019999999991</v>
      </c>
      <c r="Q180" s="179">
        <f t="shared" si="59"/>
        <v>4.577399999999999</v>
      </c>
      <c r="R180" s="179">
        <f t="shared" si="59"/>
        <v>6.2584000000000001E-2</v>
      </c>
      <c r="S180" s="179">
        <f t="shared" si="59"/>
        <v>193.43940000000001</v>
      </c>
      <c r="T180" s="179">
        <f t="shared" si="59"/>
        <v>12.272</v>
      </c>
    </row>
    <row r="181" spans="2:20">
      <c r="B181" s="311" t="s">
        <v>276</v>
      </c>
      <c r="C181" s="311"/>
      <c r="D181" s="311"/>
      <c r="E181" s="311"/>
      <c r="F181" s="146">
        <v>77</v>
      </c>
      <c r="G181" s="146">
        <v>79</v>
      </c>
      <c r="H181" s="146">
        <v>335</v>
      </c>
      <c r="I181" s="146">
        <v>2350</v>
      </c>
      <c r="J181" s="146">
        <v>1.2</v>
      </c>
      <c r="K181" s="146">
        <v>1.4</v>
      </c>
      <c r="L181" s="146">
        <v>60</v>
      </c>
      <c r="M181" s="146">
        <v>0.7</v>
      </c>
      <c r="N181" s="146">
        <v>10</v>
      </c>
      <c r="O181" s="146">
        <v>1100</v>
      </c>
      <c r="P181" s="146">
        <v>1100</v>
      </c>
      <c r="Q181" s="146">
        <v>10</v>
      </c>
      <c r="R181" s="146">
        <v>0.1</v>
      </c>
      <c r="S181" s="146">
        <v>250</v>
      </c>
      <c r="T181" s="146">
        <v>12</v>
      </c>
    </row>
    <row r="182" spans="2:20">
      <c r="B182" s="311" t="s">
        <v>265</v>
      </c>
      <c r="C182" s="311"/>
      <c r="D182" s="311"/>
      <c r="E182" s="311"/>
      <c r="F182" s="142">
        <f>F180/F181</f>
        <v>0.74266233766233769</v>
      </c>
      <c r="G182" s="142">
        <f t="shared" ref="G182:T182" si="60">G180/G181</f>
        <v>0.65326835443037956</v>
      </c>
      <c r="H182" s="142">
        <f t="shared" si="60"/>
        <v>0.70728298507462684</v>
      </c>
      <c r="I182" s="142">
        <f t="shared" si="60"/>
        <v>0.6972672340425532</v>
      </c>
      <c r="J182" s="142">
        <f t="shared" si="60"/>
        <v>0.77049999999999996</v>
      </c>
      <c r="K182" s="142">
        <f t="shared" si="60"/>
        <v>0.65142857142857147</v>
      </c>
      <c r="L182" s="142">
        <f t="shared" si="60"/>
        <v>0.77964333333333324</v>
      </c>
      <c r="M182" s="142">
        <f t="shared" si="60"/>
        <v>1.1148857142857143</v>
      </c>
      <c r="N182" s="142">
        <f t="shared" si="60"/>
        <v>0.72034199999999993</v>
      </c>
      <c r="O182" s="142">
        <f t="shared" si="60"/>
        <v>0.42755236363636367</v>
      </c>
      <c r="P182" s="142">
        <f t="shared" si="60"/>
        <v>0.69844563636363632</v>
      </c>
      <c r="Q182" s="142">
        <f t="shared" si="60"/>
        <v>0.45773999999999992</v>
      </c>
      <c r="R182" s="142">
        <f t="shared" si="60"/>
        <v>0.62583999999999995</v>
      </c>
      <c r="S182" s="142">
        <f t="shared" si="60"/>
        <v>0.77375760000000005</v>
      </c>
      <c r="T182" s="142">
        <f t="shared" si="60"/>
        <v>1.0226666666666666</v>
      </c>
    </row>
    <row r="183" spans="2:20">
      <c r="B183" s="144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319" t="s">
        <v>229</v>
      </c>
      <c r="N183" s="319"/>
      <c r="O183" s="319"/>
      <c r="P183" s="319"/>
      <c r="Q183" s="319"/>
      <c r="R183" s="319"/>
      <c r="S183" s="319"/>
      <c r="T183" s="319"/>
    </row>
    <row r="184" spans="2:20">
      <c r="B184" s="317" t="s">
        <v>304</v>
      </c>
      <c r="C184" s="317"/>
      <c r="D184" s="317"/>
      <c r="E184" s="317"/>
      <c r="F184" s="317"/>
      <c r="G184" s="317"/>
      <c r="H184" s="317"/>
      <c r="I184" s="317"/>
      <c r="J184" s="317"/>
      <c r="K184" s="317"/>
      <c r="L184" s="317"/>
      <c r="M184" s="317"/>
      <c r="N184" s="317"/>
      <c r="O184" s="317"/>
      <c r="P184" s="317"/>
      <c r="Q184" s="317"/>
      <c r="R184" s="317"/>
      <c r="S184" s="317"/>
      <c r="T184" s="317"/>
    </row>
    <row r="185" spans="2:20">
      <c r="B185" s="317" t="s">
        <v>231</v>
      </c>
      <c r="C185" s="317"/>
      <c r="D185" s="146"/>
      <c r="E185" s="146"/>
      <c r="F185" s="146"/>
      <c r="G185" s="319" t="s">
        <v>232</v>
      </c>
      <c r="H185" s="319"/>
      <c r="I185" s="319"/>
      <c r="J185" s="146"/>
      <c r="K185" s="146"/>
      <c r="L185" s="317" t="s">
        <v>233</v>
      </c>
      <c r="M185" s="317"/>
      <c r="N185" s="319" t="s">
        <v>234</v>
      </c>
      <c r="O185" s="319"/>
      <c r="P185" s="319"/>
      <c r="Q185" s="319"/>
      <c r="R185" s="146"/>
      <c r="S185" s="146"/>
      <c r="T185" s="146"/>
    </row>
    <row r="186" spans="2:20">
      <c r="B186" s="146"/>
      <c r="C186" s="146"/>
      <c r="D186" s="146"/>
      <c r="E186" s="317" t="s">
        <v>235</v>
      </c>
      <c r="F186" s="317"/>
      <c r="G186" s="146">
        <v>2</v>
      </c>
      <c r="H186" s="146"/>
      <c r="I186" s="146"/>
      <c r="J186" s="146"/>
      <c r="K186" s="146"/>
      <c r="L186" s="317" t="s">
        <v>236</v>
      </c>
      <c r="M186" s="317"/>
      <c r="N186" s="319" t="s">
        <v>237</v>
      </c>
      <c r="O186" s="319"/>
      <c r="P186" s="319"/>
      <c r="Q186" s="319"/>
      <c r="R186" s="319"/>
      <c r="S186" s="319"/>
      <c r="T186" s="319"/>
    </row>
    <row r="187" spans="2:20">
      <c r="B187" s="149" t="s">
        <v>279</v>
      </c>
      <c r="C187" s="321" t="s">
        <v>239</v>
      </c>
      <c r="D187" s="321"/>
      <c r="E187" s="321" t="s">
        <v>240</v>
      </c>
      <c r="F187" s="321" t="s">
        <v>241</v>
      </c>
      <c r="G187" s="321"/>
      <c r="H187" s="321"/>
      <c r="I187" s="149" t="s">
        <v>242</v>
      </c>
      <c r="J187" s="321" t="s">
        <v>244</v>
      </c>
      <c r="K187" s="321"/>
      <c r="L187" s="321"/>
      <c r="M187" s="321"/>
      <c r="N187" s="321"/>
      <c r="O187" s="321" t="s">
        <v>245</v>
      </c>
      <c r="P187" s="321"/>
      <c r="Q187" s="321"/>
      <c r="R187" s="321"/>
      <c r="S187" s="321"/>
      <c r="T187" s="321"/>
    </row>
    <row r="188" spans="2:20" ht="51">
      <c r="B188" s="149" t="s">
        <v>280</v>
      </c>
      <c r="C188" s="321"/>
      <c r="D188" s="321"/>
      <c r="E188" s="321"/>
      <c r="F188" s="149" t="s">
        <v>246</v>
      </c>
      <c r="G188" s="149" t="s">
        <v>247</v>
      </c>
      <c r="H188" s="149" t="s">
        <v>248</v>
      </c>
      <c r="I188" s="149" t="s">
        <v>243</v>
      </c>
      <c r="J188" s="149" t="s">
        <v>249</v>
      </c>
      <c r="K188" s="149" t="s">
        <v>250</v>
      </c>
      <c r="L188" s="149" t="s">
        <v>251</v>
      </c>
      <c r="M188" s="149" t="s">
        <v>252</v>
      </c>
      <c r="N188" s="149" t="s">
        <v>253</v>
      </c>
      <c r="O188" s="149" t="s">
        <v>254</v>
      </c>
      <c r="P188" s="149" t="s">
        <v>255</v>
      </c>
      <c r="Q188" s="149" t="s">
        <v>256</v>
      </c>
      <c r="R188" s="149" t="s">
        <v>257</v>
      </c>
      <c r="S188" s="149" t="s">
        <v>258</v>
      </c>
      <c r="T188" s="149" t="s">
        <v>259</v>
      </c>
    </row>
    <row r="189" spans="2:20">
      <c r="B189" s="150">
        <v>1</v>
      </c>
      <c r="C189" s="318">
        <v>2</v>
      </c>
      <c r="D189" s="318"/>
      <c r="E189" s="150">
        <v>3</v>
      </c>
      <c r="F189" s="150">
        <v>4</v>
      </c>
      <c r="G189" s="150">
        <v>5</v>
      </c>
      <c r="H189" s="150">
        <v>6</v>
      </c>
      <c r="I189" s="150">
        <v>7</v>
      </c>
      <c r="J189" s="150">
        <v>8</v>
      </c>
      <c r="K189" s="150">
        <v>9</v>
      </c>
      <c r="L189" s="150">
        <v>10</v>
      </c>
      <c r="M189" s="150">
        <v>11</v>
      </c>
      <c r="N189" s="150">
        <v>12</v>
      </c>
      <c r="O189" s="150">
        <v>13</v>
      </c>
      <c r="P189" s="150">
        <v>14</v>
      </c>
      <c r="Q189" s="150">
        <v>15</v>
      </c>
      <c r="R189" s="150">
        <v>16</v>
      </c>
      <c r="S189" s="150">
        <v>17</v>
      </c>
      <c r="T189" s="150">
        <v>18</v>
      </c>
    </row>
    <row r="190" spans="2:20">
      <c r="B190" s="317" t="s">
        <v>260</v>
      </c>
      <c r="C190" s="317"/>
      <c r="D190" s="317"/>
      <c r="E190" s="317"/>
      <c r="F190" s="317"/>
      <c r="G190" s="317"/>
      <c r="H190" s="317"/>
      <c r="I190" s="317"/>
      <c r="J190" s="317"/>
      <c r="K190" s="317"/>
      <c r="L190" s="317"/>
      <c r="M190" s="317"/>
      <c r="N190" s="317"/>
      <c r="O190" s="317"/>
      <c r="P190" s="317"/>
      <c r="Q190" s="317"/>
      <c r="R190" s="317"/>
      <c r="S190" s="317"/>
      <c r="T190" s="317"/>
    </row>
    <row r="191" spans="2:20" ht="18.75" customHeight="1">
      <c r="B191" s="146">
        <v>341</v>
      </c>
      <c r="C191" s="316" t="s">
        <v>307</v>
      </c>
      <c r="D191" s="316"/>
      <c r="E191" s="146">
        <v>100</v>
      </c>
      <c r="F191" s="146">
        <v>0.9</v>
      </c>
      <c r="G191" s="146">
        <v>0.2</v>
      </c>
      <c r="H191" s="146">
        <v>8.1</v>
      </c>
      <c r="I191" s="146">
        <v>35.799999999999997</v>
      </c>
      <c r="J191" s="146">
        <v>0.04</v>
      </c>
      <c r="K191" s="146">
        <v>0.03</v>
      </c>
      <c r="L191" s="146">
        <v>60</v>
      </c>
      <c r="M191" s="146">
        <v>0.01</v>
      </c>
      <c r="N191" s="146">
        <v>0.2</v>
      </c>
      <c r="O191" s="146">
        <v>34</v>
      </c>
      <c r="P191" s="146">
        <v>23</v>
      </c>
      <c r="Q191" s="146">
        <v>0.2</v>
      </c>
      <c r="R191" s="146">
        <v>0</v>
      </c>
      <c r="S191" s="146">
        <v>15</v>
      </c>
      <c r="T191" s="146">
        <v>0.3</v>
      </c>
    </row>
    <row r="192" spans="2:20" s="154" customFormat="1" ht="24.75" customHeight="1">
      <c r="B192" s="153">
        <v>15</v>
      </c>
      <c r="C192" s="315" t="s">
        <v>262</v>
      </c>
      <c r="D192" s="315"/>
      <c r="E192" s="153">
        <v>20</v>
      </c>
      <c r="F192" s="153">
        <v>4.6399999999999997</v>
      </c>
      <c r="G192" s="153">
        <v>6.8</v>
      </c>
      <c r="H192" s="153">
        <v>0.02</v>
      </c>
      <c r="I192" s="153">
        <v>79.8</v>
      </c>
      <c r="J192" s="153">
        <v>0.01</v>
      </c>
      <c r="K192" s="153">
        <v>0.06</v>
      </c>
      <c r="L192" s="153">
        <v>0.14000000000000001</v>
      </c>
      <c r="M192" s="153">
        <v>4.5999999999999999E-2</v>
      </c>
      <c r="N192" s="153">
        <v>0.1</v>
      </c>
      <c r="O192" s="153">
        <v>176</v>
      </c>
      <c r="P192" s="153">
        <v>100</v>
      </c>
      <c r="Q192" s="153">
        <v>0.8</v>
      </c>
      <c r="R192" s="153">
        <v>0.04</v>
      </c>
      <c r="S192" s="153">
        <v>7</v>
      </c>
      <c r="T192" s="153">
        <v>0.26</v>
      </c>
    </row>
    <row r="193" spans="2:20" ht="27" customHeight="1">
      <c r="B193" s="146">
        <v>173</v>
      </c>
      <c r="C193" s="316" t="s">
        <v>308</v>
      </c>
      <c r="D193" s="316"/>
      <c r="E193" s="146">
        <v>200</v>
      </c>
      <c r="F193" s="146">
        <v>7.3</v>
      </c>
      <c r="G193" s="146">
        <v>12.5</v>
      </c>
      <c r="H193" s="146">
        <v>54.3</v>
      </c>
      <c r="I193" s="146">
        <v>345.3</v>
      </c>
      <c r="J193" s="146">
        <v>0.1</v>
      </c>
      <c r="K193" s="146">
        <v>0.2</v>
      </c>
      <c r="L193" s="146">
        <v>3.4</v>
      </c>
      <c r="M193" s="146">
        <v>3.6999999999999998E-2</v>
      </c>
      <c r="N193" s="146">
        <v>1.3</v>
      </c>
      <c r="O193" s="146">
        <v>147.6</v>
      </c>
      <c r="P193" s="146">
        <v>198.6</v>
      </c>
      <c r="Q193" s="146">
        <v>0</v>
      </c>
      <c r="R193" s="146">
        <v>0</v>
      </c>
      <c r="S193" s="146">
        <v>57.8</v>
      </c>
      <c r="T193" s="146">
        <v>1.3</v>
      </c>
    </row>
    <row r="194" spans="2:20" ht="18.75" customHeight="1">
      <c r="B194" s="146">
        <v>379</v>
      </c>
      <c r="C194" s="316" t="s">
        <v>284</v>
      </c>
      <c r="D194" s="316"/>
      <c r="E194" s="146">
        <v>200</v>
      </c>
      <c r="F194" s="146">
        <v>2.8</v>
      </c>
      <c r="G194" s="146">
        <v>3.2</v>
      </c>
      <c r="H194" s="146">
        <v>24.66</v>
      </c>
      <c r="I194" s="146">
        <v>132.47999999999999</v>
      </c>
      <c r="J194" s="146">
        <v>0.04</v>
      </c>
      <c r="K194" s="146">
        <v>0.15</v>
      </c>
      <c r="L194" s="146">
        <v>1.3</v>
      </c>
      <c r="M194" s="146">
        <v>0.03</v>
      </c>
      <c r="N194" s="146">
        <v>0.06</v>
      </c>
      <c r="O194" s="146">
        <v>120.4</v>
      </c>
      <c r="P194" s="146">
        <v>90</v>
      </c>
      <c r="Q194" s="146">
        <v>1.1000000000000001</v>
      </c>
      <c r="R194" s="146">
        <v>0.01</v>
      </c>
      <c r="S194" s="146">
        <v>14</v>
      </c>
      <c r="T194" s="146">
        <v>0.12</v>
      </c>
    </row>
    <row r="195" spans="2:20" ht="19.5" customHeight="1">
      <c r="B195" s="146" t="s">
        <v>270</v>
      </c>
      <c r="C195" s="316" t="s">
        <v>329</v>
      </c>
      <c r="D195" s="316"/>
      <c r="E195" s="146">
        <v>40</v>
      </c>
      <c r="F195" s="146">
        <v>2.67</v>
      </c>
      <c r="G195" s="146">
        <v>0.53</v>
      </c>
      <c r="H195" s="146">
        <v>13.73</v>
      </c>
      <c r="I195" s="146">
        <v>70.400000000000006</v>
      </c>
      <c r="J195" s="146">
        <v>0.13</v>
      </c>
      <c r="K195" s="146">
        <v>1.2999999999999999E-2</v>
      </c>
      <c r="L195" s="146">
        <v>0.1</v>
      </c>
      <c r="M195" s="146">
        <v>0</v>
      </c>
      <c r="N195" s="146">
        <v>0.93</v>
      </c>
      <c r="O195" s="146">
        <v>14</v>
      </c>
      <c r="P195" s="146">
        <v>63.2</v>
      </c>
      <c r="Q195" s="146">
        <v>1.2999999999999999E-2</v>
      </c>
      <c r="R195" s="146">
        <v>1.2999999999999999E-2</v>
      </c>
      <c r="S195" s="146">
        <v>18.8</v>
      </c>
      <c r="T195" s="146">
        <v>1.6</v>
      </c>
    </row>
    <row r="196" spans="2:20">
      <c r="B196" s="317" t="s">
        <v>264</v>
      </c>
      <c r="C196" s="317"/>
      <c r="D196" s="317"/>
      <c r="E196" s="147">
        <f>SUM(E191:E195)</f>
        <v>560</v>
      </c>
      <c r="F196" s="147">
        <f t="shared" ref="F196:T196" si="61">SUM(F191:F195)</f>
        <v>18.310000000000002</v>
      </c>
      <c r="G196" s="147">
        <f t="shared" si="61"/>
        <v>23.23</v>
      </c>
      <c r="H196" s="147">
        <f t="shared" si="61"/>
        <v>100.81</v>
      </c>
      <c r="I196" s="147">
        <f t="shared" si="61"/>
        <v>663.78</v>
      </c>
      <c r="J196" s="147">
        <f t="shared" si="61"/>
        <v>0.32000000000000006</v>
      </c>
      <c r="K196" s="147">
        <f t="shared" si="61"/>
        <v>0.45300000000000007</v>
      </c>
      <c r="L196" s="147">
        <f t="shared" si="61"/>
        <v>64.94</v>
      </c>
      <c r="M196" s="147">
        <f t="shared" si="61"/>
        <v>0.123</v>
      </c>
      <c r="N196" s="147">
        <f t="shared" si="61"/>
        <v>2.5900000000000003</v>
      </c>
      <c r="O196" s="147">
        <f t="shared" si="61"/>
        <v>492</v>
      </c>
      <c r="P196" s="147">
        <f t="shared" si="61"/>
        <v>474.8</v>
      </c>
      <c r="Q196" s="147">
        <f t="shared" si="61"/>
        <v>2.113</v>
      </c>
      <c r="R196" s="147">
        <f t="shared" si="61"/>
        <v>6.3E-2</v>
      </c>
      <c r="S196" s="147">
        <f t="shared" si="61"/>
        <v>112.6</v>
      </c>
      <c r="T196" s="147">
        <f t="shared" si="61"/>
        <v>3.58</v>
      </c>
    </row>
    <row r="197" spans="2:20">
      <c r="B197" s="317" t="s">
        <v>265</v>
      </c>
      <c r="C197" s="317"/>
      <c r="D197" s="317"/>
      <c r="E197" s="317"/>
      <c r="F197" s="142">
        <f t="shared" ref="F197:T197" si="62">F196/F215</f>
        <v>0.23779220779220783</v>
      </c>
      <c r="G197" s="142">
        <f t="shared" si="62"/>
        <v>0.29405063291139238</v>
      </c>
      <c r="H197" s="142">
        <f t="shared" si="62"/>
        <v>0.30092537313432838</v>
      </c>
      <c r="I197" s="142">
        <f t="shared" si="62"/>
        <v>0.28245957446808512</v>
      </c>
      <c r="J197" s="142">
        <f t="shared" si="62"/>
        <v>0.26666666666666672</v>
      </c>
      <c r="K197" s="142">
        <f t="shared" si="62"/>
        <v>0.32357142857142862</v>
      </c>
      <c r="L197" s="145">
        <f t="shared" si="62"/>
        <v>1.0823333333333334</v>
      </c>
      <c r="M197" s="142">
        <f t="shared" si="62"/>
        <v>0.17571428571428571</v>
      </c>
      <c r="N197" s="142">
        <f t="shared" si="62"/>
        <v>0.25900000000000001</v>
      </c>
      <c r="O197" s="142">
        <f t="shared" si="62"/>
        <v>0.44727272727272727</v>
      </c>
      <c r="P197" s="142">
        <f t="shared" si="62"/>
        <v>0.43163636363636365</v>
      </c>
      <c r="Q197" s="142">
        <f t="shared" si="62"/>
        <v>0.21129999999999999</v>
      </c>
      <c r="R197" s="142">
        <f t="shared" si="62"/>
        <v>0.63</v>
      </c>
      <c r="S197" s="142">
        <f t="shared" si="62"/>
        <v>0.45039999999999997</v>
      </c>
      <c r="T197" s="142">
        <f t="shared" si="62"/>
        <v>0.29833333333333334</v>
      </c>
    </row>
    <row r="198" spans="2:20">
      <c r="B198" s="317" t="s">
        <v>266</v>
      </c>
      <c r="C198" s="317"/>
      <c r="D198" s="317"/>
      <c r="E198" s="317"/>
      <c r="F198" s="317"/>
      <c r="G198" s="317"/>
      <c r="H198" s="317"/>
      <c r="I198" s="317"/>
      <c r="J198" s="317"/>
      <c r="K198" s="317"/>
      <c r="L198" s="317"/>
      <c r="M198" s="317"/>
      <c r="N198" s="317"/>
      <c r="O198" s="317"/>
      <c r="P198" s="317"/>
      <c r="Q198" s="317"/>
      <c r="R198" s="317"/>
      <c r="S198" s="317"/>
      <c r="T198" s="317"/>
    </row>
    <row r="199" spans="2:20" ht="20.25" customHeight="1">
      <c r="B199" s="146" t="s">
        <v>339</v>
      </c>
      <c r="C199" s="316" t="s">
        <v>340</v>
      </c>
      <c r="D199" s="316"/>
      <c r="E199" s="146">
        <v>60</v>
      </c>
      <c r="F199" s="146">
        <v>0.5</v>
      </c>
      <c r="G199" s="146">
        <v>3.02</v>
      </c>
      <c r="H199" s="146">
        <v>1.1000000000000001</v>
      </c>
      <c r="I199" s="146">
        <v>33.6</v>
      </c>
      <c r="J199" s="146">
        <v>0.09</v>
      </c>
      <c r="K199" s="146">
        <v>0.02</v>
      </c>
      <c r="L199" s="146">
        <v>4.25</v>
      </c>
      <c r="M199" s="146">
        <v>0.09</v>
      </c>
      <c r="N199" s="146"/>
      <c r="O199" s="146">
        <v>20.38</v>
      </c>
      <c r="P199" s="146">
        <v>13.93</v>
      </c>
      <c r="Q199" s="146"/>
      <c r="R199" s="146">
        <v>0</v>
      </c>
      <c r="S199" s="146">
        <v>8.35</v>
      </c>
      <c r="T199" s="146">
        <v>0.38</v>
      </c>
    </row>
    <row r="200" spans="2:20" ht="30" customHeight="1">
      <c r="B200" s="146">
        <v>24</v>
      </c>
      <c r="C200" s="316" t="s">
        <v>294</v>
      </c>
      <c r="D200" s="316"/>
      <c r="E200" s="146">
        <v>60</v>
      </c>
      <c r="F200" s="146">
        <v>0.3</v>
      </c>
      <c r="G200" s="146">
        <v>2</v>
      </c>
      <c r="H200" s="146">
        <v>1.6</v>
      </c>
      <c r="I200" s="146">
        <v>25.6</v>
      </c>
      <c r="J200" s="146">
        <v>0.06</v>
      </c>
      <c r="K200" s="146">
        <v>0.04</v>
      </c>
      <c r="L200" s="146">
        <v>12.4</v>
      </c>
      <c r="M200" s="146">
        <v>0</v>
      </c>
      <c r="N200" s="146">
        <v>1.5</v>
      </c>
      <c r="O200" s="146">
        <v>28.2</v>
      </c>
      <c r="P200" s="146">
        <v>32.299999999999997</v>
      </c>
      <c r="Q200" s="146">
        <v>0.3</v>
      </c>
      <c r="R200" s="146">
        <v>0</v>
      </c>
      <c r="S200" s="146">
        <v>18.600000000000001</v>
      </c>
      <c r="T200" s="146">
        <v>0.5</v>
      </c>
    </row>
    <row r="201" spans="2:20" ht="18.75" customHeight="1">
      <c r="B201" s="146">
        <v>84</v>
      </c>
      <c r="C201" s="316" t="s">
        <v>225</v>
      </c>
      <c r="D201" s="316"/>
      <c r="E201" s="146">
        <v>200</v>
      </c>
      <c r="F201" s="146">
        <v>1.77</v>
      </c>
      <c r="G201" s="146">
        <v>2.65</v>
      </c>
      <c r="H201" s="146">
        <v>12.74</v>
      </c>
      <c r="I201" s="146">
        <v>81.89</v>
      </c>
      <c r="J201" s="146">
        <v>0.05</v>
      </c>
      <c r="K201" s="146">
        <v>0.05</v>
      </c>
      <c r="L201" s="146">
        <v>19</v>
      </c>
      <c r="M201" s="146">
        <v>0.74</v>
      </c>
      <c r="N201" s="146">
        <v>0.1</v>
      </c>
      <c r="O201" s="146">
        <v>43.11</v>
      </c>
      <c r="P201" s="146">
        <v>48.75</v>
      </c>
      <c r="Q201" s="146">
        <v>1.3</v>
      </c>
      <c r="R201" s="146">
        <v>3.0000000000000001E-3</v>
      </c>
      <c r="S201" s="146">
        <v>22.44</v>
      </c>
      <c r="T201" s="146">
        <v>0.8</v>
      </c>
    </row>
    <row r="202" spans="2:20" ht="18.75" customHeight="1">
      <c r="B202" s="146">
        <v>260</v>
      </c>
      <c r="C202" s="316" t="s">
        <v>337</v>
      </c>
      <c r="D202" s="316"/>
      <c r="E202" s="146">
        <v>90</v>
      </c>
      <c r="F202" s="146">
        <v>11.295</v>
      </c>
      <c r="G202" s="146">
        <v>11.691000000000001</v>
      </c>
      <c r="H202" s="146">
        <v>3.609</v>
      </c>
      <c r="I202" s="146">
        <v>164.25</v>
      </c>
      <c r="J202" s="146">
        <v>6.3E-2</v>
      </c>
      <c r="K202" s="146">
        <v>9.9000000000000005E-2</v>
      </c>
      <c r="L202" s="146">
        <v>4.5629999999999997</v>
      </c>
      <c r="M202" s="146">
        <v>1.341</v>
      </c>
      <c r="N202" s="146">
        <v>2.0249999999999999</v>
      </c>
      <c r="O202" s="146">
        <v>27.468</v>
      </c>
      <c r="P202" s="146">
        <v>107.271</v>
      </c>
      <c r="Q202" s="146"/>
      <c r="R202" s="146"/>
      <c r="S202" s="146">
        <v>21.626999999999999</v>
      </c>
      <c r="T202" s="146">
        <v>1.89</v>
      </c>
    </row>
    <row r="203" spans="2:20" ht="25.5" customHeight="1">
      <c r="B203" s="146">
        <v>203</v>
      </c>
      <c r="C203" s="316" t="s">
        <v>309</v>
      </c>
      <c r="D203" s="316"/>
      <c r="E203" s="146">
        <v>150</v>
      </c>
      <c r="F203" s="146">
        <v>5.52</v>
      </c>
      <c r="G203" s="146">
        <v>4.5199999999999996</v>
      </c>
      <c r="H203" s="146">
        <v>26.45</v>
      </c>
      <c r="I203" s="146">
        <v>168.56</v>
      </c>
      <c r="J203" s="146">
        <v>0.09</v>
      </c>
      <c r="K203" s="146">
        <v>0.03</v>
      </c>
      <c r="L203" s="146">
        <v>0</v>
      </c>
      <c r="M203" s="146">
        <v>3.3000000000000002E-2</v>
      </c>
      <c r="N203" s="146">
        <v>1.25</v>
      </c>
      <c r="O203" s="146">
        <v>13.3</v>
      </c>
      <c r="P203" s="146">
        <v>46.21</v>
      </c>
      <c r="Q203" s="146">
        <v>0.01</v>
      </c>
      <c r="R203" s="146">
        <v>2E-3</v>
      </c>
      <c r="S203" s="146">
        <v>8.4700000000000006</v>
      </c>
      <c r="T203" s="146">
        <v>0.86</v>
      </c>
    </row>
    <row r="204" spans="2:20" ht="27.75" customHeight="1">
      <c r="B204" s="146">
        <v>648</v>
      </c>
      <c r="C204" s="316" t="s">
        <v>219</v>
      </c>
      <c r="D204" s="316"/>
      <c r="E204" s="146">
        <v>200</v>
      </c>
      <c r="F204" s="146">
        <v>0</v>
      </c>
      <c r="G204" s="146">
        <v>0</v>
      </c>
      <c r="H204" s="146">
        <v>20</v>
      </c>
      <c r="I204" s="146">
        <v>76</v>
      </c>
      <c r="J204" s="146">
        <v>0</v>
      </c>
      <c r="K204" s="146">
        <v>0</v>
      </c>
      <c r="L204" s="146">
        <v>0</v>
      </c>
      <c r="M204" s="146">
        <v>0</v>
      </c>
      <c r="N204" s="146"/>
      <c r="O204" s="146">
        <v>0.48</v>
      </c>
      <c r="P204" s="146">
        <v>0</v>
      </c>
      <c r="Q204" s="146">
        <v>0</v>
      </c>
      <c r="R204" s="146">
        <v>0</v>
      </c>
      <c r="S204" s="146">
        <v>0</v>
      </c>
      <c r="T204" s="146">
        <v>0.06</v>
      </c>
    </row>
    <row r="205" spans="2:20" ht="19.5" customHeight="1">
      <c r="B205" s="146" t="s">
        <v>270</v>
      </c>
      <c r="C205" s="316" t="s">
        <v>135</v>
      </c>
      <c r="D205" s="316"/>
      <c r="E205" s="146">
        <v>40</v>
      </c>
      <c r="F205" s="146">
        <v>2.64</v>
      </c>
      <c r="G205" s="146">
        <v>0.48</v>
      </c>
      <c r="H205" s="146">
        <v>13.68</v>
      </c>
      <c r="I205" s="146">
        <v>69.599999999999994</v>
      </c>
      <c r="J205" s="146">
        <v>0.08</v>
      </c>
      <c r="K205" s="146">
        <v>0.04</v>
      </c>
      <c r="L205" s="146">
        <v>0</v>
      </c>
      <c r="M205" s="146">
        <v>0</v>
      </c>
      <c r="N205" s="146">
        <v>2.4</v>
      </c>
      <c r="O205" s="146">
        <v>14</v>
      </c>
      <c r="P205" s="146">
        <v>63.2</v>
      </c>
      <c r="Q205" s="146">
        <v>1.2</v>
      </c>
      <c r="R205" s="146">
        <v>1E-3</v>
      </c>
      <c r="S205" s="146">
        <v>9.4</v>
      </c>
      <c r="T205" s="146">
        <v>0.78</v>
      </c>
    </row>
    <row r="206" spans="2:20">
      <c r="B206" s="146" t="s">
        <v>270</v>
      </c>
      <c r="C206" s="316" t="s">
        <v>35</v>
      </c>
      <c r="D206" s="316"/>
      <c r="E206" s="146">
        <v>30</v>
      </c>
      <c r="F206" s="146">
        <v>1.52</v>
      </c>
      <c r="G206" s="146">
        <v>0.16</v>
      </c>
      <c r="H206" s="146">
        <v>9.84</v>
      </c>
      <c r="I206" s="146">
        <v>46.9</v>
      </c>
      <c r="J206" s="146">
        <v>0.02</v>
      </c>
      <c r="K206" s="146">
        <v>0.01</v>
      </c>
      <c r="L206" s="146">
        <v>0.44</v>
      </c>
      <c r="M206" s="146">
        <v>0</v>
      </c>
      <c r="N206" s="146">
        <v>0.7</v>
      </c>
      <c r="O206" s="146">
        <v>4</v>
      </c>
      <c r="P206" s="146">
        <v>13</v>
      </c>
      <c r="Q206" s="146">
        <v>8.0000000000000002E-3</v>
      </c>
      <c r="R206" s="146">
        <v>1E-3</v>
      </c>
      <c r="S206" s="146">
        <v>0</v>
      </c>
      <c r="T206" s="146">
        <v>0.22</v>
      </c>
    </row>
    <row r="207" spans="2:20" ht="25.5" customHeight="1">
      <c r="B207" s="317" t="s">
        <v>271</v>
      </c>
      <c r="C207" s="317"/>
      <c r="D207" s="317"/>
      <c r="E207" s="147">
        <f>E200+E201+E202+E203+E204+E205+E206</f>
        <v>770</v>
      </c>
      <c r="F207" s="147">
        <f t="shared" ref="F207:T207" si="63">F200+F201+F202+F203+F204+F205+F206</f>
        <v>23.044999999999998</v>
      </c>
      <c r="G207" s="147">
        <f t="shared" si="63"/>
        <v>21.501000000000001</v>
      </c>
      <c r="H207" s="147">
        <f t="shared" si="63"/>
        <v>87.919000000000011</v>
      </c>
      <c r="I207" s="147">
        <f t="shared" si="63"/>
        <v>632.79999999999995</v>
      </c>
      <c r="J207" s="147">
        <f t="shared" si="63"/>
        <v>0.36300000000000004</v>
      </c>
      <c r="K207" s="147">
        <f t="shared" si="63"/>
        <v>0.26900000000000002</v>
      </c>
      <c r="L207" s="147">
        <f t="shared" si="63"/>
        <v>36.402999999999999</v>
      </c>
      <c r="M207" s="147">
        <f t="shared" si="63"/>
        <v>2.1139999999999999</v>
      </c>
      <c r="N207" s="147">
        <f t="shared" si="63"/>
        <v>7.9750000000000005</v>
      </c>
      <c r="O207" s="147">
        <f t="shared" si="63"/>
        <v>130.55799999999999</v>
      </c>
      <c r="P207" s="147">
        <f t="shared" si="63"/>
        <v>310.73099999999999</v>
      </c>
      <c r="Q207" s="147">
        <f t="shared" si="63"/>
        <v>2.8180000000000001</v>
      </c>
      <c r="R207" s="147">
        <f t="shared" si="63"/>
        <v>7.0000000000000001E-3</v>
      </c>
      <c r="S207" s="147">
        <f t="shared" si="63"/>
        <v>80.537000000000006</v>
      </c>
      <c r="T207" s="147">
        <f t="shared" si="63"/>
        <v>5.1099999999999994</v>
      </c>
    </row>
    <row r="208" spans="2:20">
      <c r="B208" s="317" t="s">
        <v>265</v>
      </c>
      <c r="C208" s="317"/>
      <c r="D208" s="317"/>
      <c r="E208" s="317"/>
      <c r="F208" s="142">
        <f t="shared" ref="F208:T208" si="64">F207/F215</f>
        <v>0.29928571428571427</v>
      </c>
      <c r="G208" s="142">
        <f t="shared" si="64"/>
        <v>0.27216455696202535</v>
      </c>
      <c r="H208" s="142">
        <f t="shared" si="64"/>
        <v>0.26244477611940303</v>
      </c>
      <c r="I208" s="142">
        <f t="shared" si="64"/>
        <v>0.26927659574468082</v>
      </c>
      <c r="J208" s="142">
        <f t="shared" si="64"/>
        <v>0.30250000000000005</v>
      </c>
      <c r="K208" s="142">
        <f t="shared" si="64"/>
        <v>0.19214285714285717</v>
      </c>
      <c r="L208" s="142">
        <f t="shared" si="64"/>
        <v>0.60671666666666668</v>
      </c>
      <c r="M208" s="145">
        <f t="shared" si="64"/>
        <v>3.02</v>
      </c>
      <c r="N208" s="142">
        <f t="shared" si="64"/>
        <v>0.7975000000000001</v>
      </c>
      <c r="O208" s="142">
        <f t="shared" si="64"/>
        <v>0.1186890909090909</v>
      </c>
      <c r="P208" s="142">
        <f t="shared" si="64"/>
        <v>0.28248272727272727</v>
      </c>
      <c r="Q208" s="142">
        <f t="shared" si="64"/>
        <v>0.28179999999999999</v>
      </c>
      <c r="R208" s="142">
        <f t="shared" si="64"/>
        <v>6.9999999999999993E-2</v>
      </c>
      <c r="S208" s="142">
        <f t="shared" si="64"/>
        <v>0.32214800000000005</v>
      </c>
      <c r="T208" s="142">
        <f t="shared" si="64"/>
        <v>0.42583333333333329</v>
      </c>
    </row>
    <row r="209" spans="2:20">
      <c r="B209" s="317" t="s">
        <v>272</v>
      </c>
      <c r="C209" s="317"/>
      <c r="D209" s="317"/>
      <c r="E209" s="317"/>
      <c r="F209" s="317"/>
      <c r="G209" s="317"/>
      <c r="H209" s="317"/>
      <c r="I209" s="317"/>
      <c r="J209" s="317"/>
      <c r="K209" s="317"/>
      <c r="L209" s="317"/>
      <c r="M209" s="317"/>
      <c r="N209" s="317"/>
      <c r="O209" s="317"/>
      <c r="P209" s="317"/>
      <c r="Q209" s="317"/>
      <c r="R209" s="317"/>
      <c r="S209" s="317"/>
      <c r="T209" s="317"/>
    </row>
    <row r="210" spans="2:20" ht="17.25" customHeight="1">
      <c r="B210" s="153" t="s">
        <v>270</v>
      </c>
      <c r="C210" s="315" t="s">
        <v>402</v>
      </c>
      <c r="D210" s="315"/>
      <c r="E210" s="153">
        <v>80</v>
      </c>
      <c r="F210" s="153">
        <v>5.95</v>
      </c>
      <c r="G210" s="153">
        <v>6.05</v>
      </c>
      <c r="H210" s="153">
        <v>38.22</v>
      </c>
      <c r="I210" s="153">
        <v>231.11</v>
      </c>
      <c r="J210" s="153">
        <v>0.06</v>
      </c>
      <c r="K210" s="153">
        <v>0.06</v>
      </c>
      <c r="L210" s="153">
        <v>0.02</v>
      </c>
      <c r="M210" s="153">
        <v>0.06</v>
      </c>
      <c r="N210" s="153"/>
      <c r="O210" s="153">
        <v>19.489999999999998</v>
      </c>
      <c r="P210" s="153">
        <v>55.89</v>
      </c>
      <c r="Q210" s="153"/>
      <c r="R210" s="153">
        <v>0</v>
      </c>
      <c r="S210" s="153">
        <v>8.27</v>
      </c>
      <c r="T210" s="153">
        <v>0.7</v>
      </c>
    </row>
    <row r="211" spans="2:20" ht="17.25" customHeight="1">
      <c r="B211" s="146">
        <v>376</v>
      </c>
      <c r="C211" s="316" t="s">
        <v>57</v>
      </c>
      <c r="D211" s="316"/>
      <c r="E211" s="146">
        <v>200</v>
      </c>
      <c r="F211" s="146">
        <v>0.2</v>
      </c>
      <c r="G211" s="146">
        <v>0.05</v>
      </c>
      <c r="H211" s="146">
        <v>15.01</v>
      </c>
      <c r="I211" s="146">
        <v>61</v>
      </c>
      <c r="J211" s="146">
        <v>0</v>
      </c>
      <c r="K211" s="146">
        <v>0.01</v>
      </c>
      <c r="L211" s="146">
        <v>9</v>
      </c>
      <c r="M211" s="146">
        <v>1E-4</v>
      </c>
      <c r="N211" s="146">
        <v>4.4999999999999998E-2</v>
      </c>
      <c r="O211" s="146">
        <v>5.25</v>
      </c>
      <c r="P211" s="146">
        <v>8.24</v>
      </c>
      <c r="Q211" s="146">
        <v>8.0000000000000002E-3</v>
      </c>
      <c r="R211" s="146">
        <v>0</v>
      </c>
      <c r="S211" s="146">
        <v>4.4000000000000004</v>
      </c>
      <c r="T211" s="146">
        <v>0.87</v>
      </c>
    </row>
    <row r="212" spans="2:20" ht="15" customHeight="1">
      <c r="B212" s="312" t="s">
        <v>274</v>
      </c>
      <c r="C212" s="313"/>
      <c r="D212" s="314"/>
      <c r="E212" s="164">
        <f>SUM(E210:E211)</f>
        <v>280</v>
      </c>
      <c r="F212" s="164">
        <f t="shared" ref="F212:T212" si="65">SUM(F210:F211)</f>
        <v>6.15</v>
      </c>
      <c r="G212" s="164">
        <f t="shared" si="65"/>
        <v>6.1</v>
      </c>
      <c r="H212" s="164">
        <f t="shared" si="65"/>
        <v>53.23</v>
      </c>
      <c r="I212" s="164">
        <f t="shared" si="65"/>
        <v>292.11</v>
      </c>
      <c r="J212" s="164">
        <f t="shared" si="65"/>
        <v>0.06</v>
      </c>
      <c r="K212" s="164">
        <f t="shared" si="65"/>
        <v>6.9999999999999993E-2</v>
      </c>
      <c r="L212" s="164">
        <f t="shared" si="65"/>
        <v>9.02</v>
      </c>
      <c r="M212" s="164">
        <f t="shared" si="65"/>
        <v>6.0100000000000001E-2</v>
      </c>
      <c r="N212" s="164">
        <f t="shared" si="65"/>
        <v>4.4999999999999998E-2</v>
      </c>
      <c r="O212" s="164">
        <f t="shared" si="65"/>
        <v>24.74</v>
      </c>
      <c r="P212" s="164">
        <f t="shared" si="65"/>
        <v>64.13</v>
      </c>
      <c r="Q212" s="164">
        <f t="shared" si="65"/>
        <v>8.0000000000000002E-3</v>
      </c>
      <c r="R212" s="164">
        <f t="shared" si="65"/>
        <v>0</v>
      </c>
      <c r="S212" s="164">
        <f t="shared" si="65"/>
        <v>12.67</v>
      </c>
      <c r="T212" s="164">
        <f t="shared" si="65"/>
        <v>1.5699999999999998</v>
      </c>
    </row>
    <row r="213" spans="2:20">
      <c r="B213" s="317" t="s">
        <v>265</v>
      </c>
      <c r="C213" s="317"/>
      <c r="D213" s="317"/>
      <c r="E213" s="317"/>
      <c r="F213" s="142">
        <f>F212/F215</f>
        <v>7.9870129870129869E-2</v>
      </c>
      <c r="G213" s="142">
        <f t="shared" ref="G213:T213" si="66">G212/G215</f>
        <v>7.7215189873417717E-2</v>
      </c>
      <c r="H213" s="142">
        <f t="shared" si="66"/>
        <v>0.15889552238805968</v>
      </c>
      <c r="I213" s="142">
        <f t="shared" si="66"/>
        <v>0.12430212765957448</v>
      </c>
      <c r="J213" s="142">
        <f t="shared" si="66"/>
        <v>0.05</v>
      </c>
      <c r="K213" s="142">
        <f t="shared" si="66"/>
        <v>4.9999999999999996E-2</v>
      </c>
      <c r="L213" s="142">
        <f t="shared" si="66"/>
        <v>0.15033333333333332</v>
      </c>
      <c r="M213" s="142">
        <f t="shared" si="66"/>
        <v>8.5857142857142868E-2</v>
      </c>
      <c r="N213" s="142">
        <f t="shared" si="66"/>
        <v>4.4999999999999997E-3</v>
      </c>
      <c r="O213" s="142">
        <f t="shared" si="66"/>
        <v>2.2490909090909089E-2</v>
      </c>
      <c r="P213" s="142">
        <f t="shared" si="66"/>
        <v>5.8299999999999998E-2</v>
      </c>
      <c r="Q213" s="142">
        <f t="shared" si="66"/>
        <v>8.0000000000000004E-4</v>
      </c>
      <c r="R213" s="142">
        <f t="shared" si="66"/>
        <v>0</v>
      </c>
      <c r="S213" s="142">
        <f t="shared" si="66"/>
        <v>5.0680000000000003E-2</v>
      </c>
      <c r="T213" s="142">
        <f t="shared" si="66"/>
        <v>0.13083333333333333</v>
      </c>
    </row>
    <row r="214" spans="2:20">
      <c r="B214" s="317" t="s">
        <v>275</v>
      </c>
      <c r="C214" s="317"/>
      <c r="D214" s="317"/>
      <c r="E214" s="317"/>
      <c r="F214" s="147">
        <f>F212+F207+F196</f>
        <v>47.505000000000003</v>
      </c>
      <c r="G214" s="147">
        <f t="shared" ref="G214:T214" si="67">G212+G207+G196</f>
        <v>50.831000000000003</v>
      </c>
      <c r="H214" s="147">
        <f t="shared" si="67"/>
        <v>241.959</v>
      </c>
      <c r="I214" s="147">
        <f t="shared" si="67"/>
        <v>1588.69</v>
      </c>
      <c r="J214" s="147">
        <f t="shared" si="67"/>
        <v>0.7430000000000001</v>
      </c>
      <c r="K214" s="147">
        <f t="shared" si="67"/>
        <v>0.79200000000000004</v>
      </c>
      <c r="L214" s="147">
        <f t="shared" si="67"/>
        <v>110.363</v>
      </c>
      <c r="M214" s="147">
        <f t="shared" si="67"/>
        <v>2.2970999999999995</v>
      </c>
      <c r="N214" s="147">
        <f t="shared" si="67"/>
        <v>10.610000000000001</v>
      </c>
      <c r="O214" s="147">
        <f t="shared" si="67"/>
        <v>647.298</v>
      </c>
      <c r="P214" s="147">
        <f t="shared" si="67"/>
        <v>849.66100000000006</v>
      </c>
      <c r="Q214" s="147">
        <f t="shared" si="67"/>
        <v>4.9390000000000001</v>
      </c>
      <c r="R214" s="147">
        <f t="shared" si="67"/>
        <v>7.0000000000000007E-2</v>
      </c>
      <c r="S214" s="147">
        <f t="shared" si="67"/>
        <v>205.80700000000002</v>
      </c>
      <c r="T214" s="147">
        <f t="shared" si="67"/>
        <v>10.26</v>
      </c>
    </row>
    <row r="215" spans="2:20">
      <c r="B215" s="317" t="s">
        <v>276</v>
      </c>
      <c r="C215" s="317"/>
      <c r="D215" s="317"/>
      <c r="E215" s="317"/>
      <c r="F215" s="146">
        <v>77</v>
      </c>
      <c r="G215" s="146">
        <v>79</v>
      </c>
      <c r="H215" s="146">
        <v>335</v>
      </c>
      <c r="I215" s="146">
        <v>2350</v>
      </c>
      <c r="J215" s="146">
        <v>1.2</v>
      </c>
      <c r="K215" s="146">
        <v>1.4</v>
      </c>
      <c r="L215" s="146">
        <v>60</v>
      </c>
      <c r="M215" s="146">
        <v>0.7</v>
      </c>
      <c r="N215" s="146">
        <v>10</v>
      </c>
      <c r="O215" s="146">
        <v>1100</v>
      </c>
      <c r="P215" s="146">
        <v>1100</v>
      </c>
      <c r="Q215" s="146">
        <v>10</v>
      </c>
      <c r="R215" s="146">
        <v>0.1</v>
      </c>
      <c r="S215" s="146">
        <v>250</v>
      </c>
      <c r="T215" s="146">
        <v>12</v>
      </c>
    </row>
    <row r="216" spans="2:20">
      <c r="B216" s="317" t="s">
        <v>265</v>
      </c>
      <c r="C216" s="317"/>
      <c r="D216" s="317"/>
      <c r="E216" s="317"/>
      <c r="F216" s="142">
        <f>F214/F215</f>
        <v>0.61694805194805202</v>
      </c>
      <c r="G216" s="142">
        <f t="shared" ref="G216:T216" si="68">G214/G215</f>
        <v>0.64343037974683548</v>
      </c>
      <c r="H216" s="142">
        <f t="shared" si="68"/>
        <v>0.72226567164179101</v>
      </c>
      <c r="I216" s="142">
        <f t="shared" si="68"/>
        <v>0.67603829787234049</v>
      </c>
      <c r="J216" s="142">
        <f t="shared" si="68"/>
        <v>0.61916666666666675</v>
      </c>
      <c r="K216" s="142">
        <f t="shared" si="68"/>
        <v>0.56571428571428573</v>
      </c>
      <c r="L216" s="142">
        <f t="shared" si="68"/>
        <v>1.8393833333333334</v>
      </c>
      <c r="M216" s="142">
        <f t="shared" si="68"/>
        <v>3.2815714285714281</v>
      </c>
      <c r="N216" s="142">
        <f t="shared" si="68"/>
        <v>1.0610000000000002</v>
      </c>
      <c r="O216" s="142">
        <f t="shared" si="68"/>
        <v>0.58845272727272724</v>
      </c>
      <c r="P216" s="142">
        <f t="shared" si="68"/>
        <v>0.772419090909091</v>
      </c>
      <c r="Q216" s="142">
        <f t="shared" si="68"/>
        <v>0.49390000000000001</v>
      </c>
      <c r="R216" s="142">
        <f t="shared" si="68"/>
        <v>0.70000000000000007</v>
      </c>
      <c r="S216" s="142">
        <f t="shared" si="68"/>
        <v>0.82322800000000007</v>
      </c>
      <c r="T216" s="142">
        <f t="shared" si="68"/>
        <v>0.85499999999999998</v>
      </c>
    </row>
    <row r="217" spans="2:20">
      <c r="B217" s="144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319" t="s">
        <v>229</v>
      </c>
      <c r="N217" s="319"/>
      <c r="O217" s="319"/>
      <c r="P217" s="319"/>
      <c r="Q217" s="319"/>
      <c r="R217" s="319"/>
      <c r="S217" s="319"/>
      <c r="T217" s="319"/>
    </row>
    <row r="218" spans="2:20">
      <c r="B218" s="317" t="s">
        <v>306</v>
      </c>
      <c r="C218" s="317"/>
      <c r="D218" s="317"/>
      <c r="E218" s="317"/>
      <c r="F218" s="317"/>
      <c r="G218" s="317"/>
      <c r="H218" s="317"/>
      <c r="I218" s="317"/>
      <c r="J218" s="317"/>
      <c r="K218" s="317"/>
      <c r="L218" s="317"/>
      <c r="M218" s="317"/>
      <c r="N218" s="317"/>
      <c r="O218" s="317"/>
      <c r="P218" s="317"/>
      <c r="Q218" s="317"/>
      <c r="R218" s="317"/>
      <c r="S218" s="317"/>
      <c r="T218" s="317"/>
    </row>
    <row r="219" spans="2:20">
      <c r="B219" s="317" t="s">
        <v>231</v>
      </c>
      <c r="C219" s="317"/>
      <c r="D219" s="146"/>
      <c r="E219" s="146"/>
      <c r="F219" s="146"/>
      <c r="G219" s="319" t="s">
        <v>278</v>
      </c>
      <c r="H219" s="319"/>
      <c r="I219" s="319"/>
      <c r="J219" s="146"/>
      <c r="K219" s="146"/>
      <c r="L219" s="317" t="s">
        <v>233</v>
      </c>
      <c r="M219" s="317"/>
      <c r="N219" s="319" t="s">
        <v>234</v>
      </c>
      <c r="O219" s="319"/>
      <c r="P219" s="319"/>
      <c r="Q219" s="319"/>
      <c r="R219" s="146"/>
      <c r="S219" s="146"/>
      <c r="T219" s="146"/>
    </row>
    <row r="220" spans="2:20">
      <c r="B220" s="146"/>
      <c r="C220" s="146"/>
      <c r="D220" s="146"/>
      <c r="E220" s="317" t="s">
        <v>235</v>
      </c>
      <c r="F220" s="317"/>
      <c r="G220" s="146">
        <v>2</v>
      </c>
      <c r="H220" s="146"/>
      <c r="I220" s="146"/>
      <c r="J220" s="146"/>
      <c r="K220" s="146"/>
      <c r="L220" s="317" t="s">
        <v>236</v>
      </c>
      <c r="M220" s="317"/>
      <c r="N220" s="319" t="s">
        <v>237</v>
      </c>
      <c r="O220" s="319"/>
      <c r="P220" s="319"/>
      <c r="Q220" s="319"/>
      <c r="R220" s="319"/>
      <c r="S220" s="319"/>
      <c r="T220" s="319"/>
    </row>
    <row r="221" spans="2:20">
      <c r="B221" s="149" t="s">
        <v>279</v>
      </c>
      <c r="C221" s="321" t="s">
        <v>239</v>
      </c>
      <c r="D221" s="321"/>
      <c r="E221" s="321" t="s">
        <v>240</v>
      </c>
      <c r="F221" s="321" t="s">
        <v>241</v>
      </c>
      <c r="G221" s="321"/>
      <c r="H221" s="321"/>
      <c r="I221" s="149" t="s">
        <v>242</v>
      </c>
      <c r="J221" s="321" t="s">
        <v>244</v>
      </c>
      <c r="K221" s="321"/>
      <c r="L221" s="321"/>
      <c r="M221" s="321"/>
      <c r="N221" s="321"/>
      <c r="O221" s="321" t="s">
        <v>245</v>
      </c>
      <c r="P221" s="321"/>
      <c r="Q221" s="321"/>
      <c r="R221" s="321"/>
      <c r="S221" s="321"/>
      <c r="T221" s="321"/>
    </row>
    <row r="222" spans="2:20" ht="51">
      <c r="B222" s="149" t="s">
        <v>280</v>
      </c>
      <c r="C222" s="321"/>
      <c r="D222" s="321"/>
      <c r="E222" s="321"/>
      <c r="F222" s="149" t="s">
        <v>246</v>
      </c>
      <c r="G222" s="149" t="s">
        <v>247</v>
      </c>
      <c r="H222" s="149" t="s">
        <v>248</v>
      </c>
      <c r="I222" s="149" t="s">
        <v>243</v>
      </c>
      <c r="J222" s="149" t="s">
        <v>249</v>
      </c>
      <c r="K222" s="149" t="s">
        <v>250</v>
      </c>
      <c r="L222" s="149" t="s">
        <v>251</v>
      </c>
      <c r="M222" s="149" t="s">
        <v>252</v>
      </c>
      <c r="N222" s="149" t="s">
        <v>253</v>
      </c>
      <c r="O222" s="149" t="s">
        <v>254</v>
      </c>
      <c r="P222" s="149" t="s">
        <v>255</v>
      </c>
      <c r="Q222" s="149" t="s">
        <v>256</v>
      </c>
      <c r="R222" s="149" t="s">
        <v>257</v>
      </c>
      <c r="S222" s="149" t="s">
        <v>258</v>
      </c>
      <c r="T222" s="149" t="s">
        <v>259</v>
      </c>
    </row>
    <row r="223" spans="2:20">
      <c r="B223" s="150">
        <v>1</v>
      </c>
      <c r="C223" s="318">
        <v>2</v>
      </c>
      <c r="D223" s="318"/>
      <c r="E223" s="150">
        <v>3</v>
      </c>
      <c r="F223" s="150">
        <v>4</v>
      </c>
      <c r="G223" s="150">
        <v>5</v>
      </c>
      <c r="H223" s="150">
        <v>6</v>
      </c>
      <c r="I223" s="150">
        <v>7</v>
      </c>
      <c r="J223" s="150">
        <v>8</v>
      </c>
      <c r="K223" s="150">
        <v>9</v>
      </c>
      <c r="L223" s="150">
        <v>10</v>
      </c>
      <c r="M223" s="150">
        <v>11</v>
      </c>
      <c r="N223" s="150">
        <v>12</v>
      </c>
      <c r="O223" s="150">
        <v>13</v>
      </c>
      <c r="P223" s="150">
        <v>14</v>
      </c>
      <c r="Q223" s="150">
        <v>15</v>
      </c>
      <c r="R223" s="150">
        <v>16</v>
      </c>
      <c r="S223" s="150">
        <v>17</v>
      </c>
      <c r="T223" s="150">
        <v>18</v>
      </c>
    </row>
    <row r="224" spans="2:20">
      <c r="B224" s="317" t="s">
        <v>281</v>
      </c>
      <c r="C224" s="317"/>
      <c r="D224" s="317"/>
      <c r="E224" s="317"/>
      <c r="F224" s="317"/>
      <c r="G224" s="317"/>
      <c r="H224" s="317"/>
      <c r="I224" s="317"/>
      <c r="J224" s="317"/>
      <c r="K224" s="317"/>
      <c r="L224" s="317"/>
      <c r="M224" s="317"/>
      <c r="N224" s="317"/>
      <c r="O224" s="317"/>
      <c r="P224" s="317"/>
      <c r="Q224" s="317"/>
      <c r="R224" s="317"/>
      <c r="S224" s="317"/>
      <c r="T224" s="317"/>
    </row>
    <row r="225" spans="2:20" ht="18.75" customHeight="1">
      <c r="B225" s="148" t="s">
        <v>324</v>
      </c>
      <c r="C225" s="316" t="s">
        <v>224</v>
      </c>
      <c r="D225" s="316"/>
      <c r="E225" s="146">
        <v>40</v>
      </c>
      <c r="F225" s="146">
        <v>0.4</v>
      </c>
      <c r="G225" s="146">
        <v>1.8</v>
      </c>
      <c r="H225" s="146">
        <v>5.8</v>
      </c>
      <c r="I225" s="148">
        <v>40</v>
      </c>
      <c r="J225" s="146">
        <v>0.01</v>
      </c>
      <c r="K225" s="146">
        <v>0.01</v>
      </c>
      <c r="L225" s="146">
        <v>1.53</v>
      </c>
      <c r="M225" s="146">
        <v>0.01</v>
      </c>
      <c r="N225" s="146"/>
      <c r="O225" s="146">
        <v>8.19</v>
      </c>
      <c r="P225" s="146">
        <v>0</v>
      </c>
      <c r="Q225" s="146"/>
      <c r="R225" s="146">
        <v>0</v>
      </c>
      <c r="S225" s="146">
        <v>4.68</v>
      </c>
      <c r="T225" s="146">
        <v>0.21</v>
      </c>
    </row>
    <row r="226" spans="2:20" s="116" customFormat="1" ht="27" customHeight="1">
      <c r="B226" s="163">
        <v>71</v>
      </c>
      <c r="C226" s="315" t="s">
        <v>282</v>
      </c>
      <c r="D226" s="315"/>
      <c r="E226" s="163">
        <v>40</v>
      </c>
      <c r="F226" s="163">
        <v>0.33</v>
      </c>
      <c r="G226" s="163">
        <v>0.04</v>
      </c>
      <c r="H226" s="163">
        <v>1.1299999999999999</v>
      </c>
      <c r="I226" s="163">
        <v>6.23</v>
      </c>
      <c r="J226" s="163">
        <v>8.9999999999999993E-3</v>
      </c>
      <c r="K226" s="163">
        <v>0.01</v>
      </c>
      <c r="L226" s="163">
        <v>3</v>
      </c>
      <c r="M226" s="163">
        <v>3.0000000000000001E-3</v>
      </c>
      <c r="N226" s="163">
        <v>0.03</v>
      </c>
      <c r="O226" s="163">
        <v>6.9</v>
      </c>
      <c r="P226" s="163">
        <v>12.6</v>
      </c>
      <c r="Q226" s="163">
        <v>6.4000000000000001E-2</v>
      </c>
      <c r="R226" s="163">
        <v>1E-3</v>
      </c>
      <c r="S226" s="163">
        <v>4.2</v>
      </c>
      <c r="T226" s="163">
        <v>0.18</v>
      </c>
    </row>
    <row r="227" spans="2:20" s="116" customFormat="1" ht="30" customHeight="1">
      <c r="B227" s="146">
        <v>392</v>
      </c>
      <c r="C227" s="327" t="s">
        <v>215</v>
      </c>
      <c r="D227" s="328"/>
      <c r="E227" s="146">
        <v>90</v>
      </c>
      <c r="F227" s="146">
        <v>9.9</v>
      </c>
      <c r="G227" s="146">
        <v>10.53</v>
      </c>
      <c r="H227" s="146">
        <v>7.02</v>
      </c>
      <c r="I227" s="146">
        <v>162</v>
      </c>
      <c r="J227" s="146">
        <v>0.05</v>
      </c>
      <c r="K227" s="146">
        <v>0</v>
      </c>
      <c r="L227" s="146">
        <v>0.09</v>
      </c>
      <c r="M227" s="146">
        <v>0.05</v>
      </c>
      <c r="N227" s="146"/>
      <c r="O227" s="146">
        <v>9</v>
      </c>
      <c r="P227" s="146">
        <v>90.9</v>
      </c>
      <c r="Q227" s="146">
        <v>0</v>
      </c>
      <c r="R227" s="146">
        <v>0</v>
      </c>
      <c r="S227" s="146">
        <v>11.7</v>
      </c>
      <c r="T227" s="146">
        <v>1.44</v>
      </c>
    </row>
    <row r="228" spans="2:20" s="116" customFormat="1" ht="25.5" customHeight="1">
      <c r="B228" s="146">
        <v>175</v>
      </c>
      <c r="C228" s="316" t="s">
        <v>106</v>
      </c>
      <c r="D228" s="316"/>
      <c r="E228" s="146">
        <v>150</v>
      </c>
      <c r="F228" s="146">
        <v>3.5</v>
      </c>
      <c r="G228" s="146">
        <v>5</v>
      </c>
      <c r="H228" s="146">
        <v>25.2</v>
      </c>
      <c r="I228" s="146">
        <v>152.80000000000001</v>
      </c>
      <c r="J228" s="146">
        <v>0.1</v>
      </c>
      <c r="K228" s="146">
        <v>0.1</v>
      </c>
      <c r="L228" s="146">
        <v>3.4</v>
      </c>
      <c r="M228" s="146">
        <v>3.6999999999999998E-2</v>
      </c>
      <c r="N228" s="146">
        <v>0</v>
      </c>
      <c r="O228" s="146">
        <v>127.4</v>
      </c>
      <c r="P228" s="146">
        <v>183.5</v>
      </c>
      <c r="Q228" s="146">
        <v>0</v>
      </c>
      <c r="R228" s="146">
        <v>0</v>
      </c>
      <c r="S228" s="146">
        <v>55.1</v>
      </c>
      <c r="T228" s="146">
        <v>0.3</v>
      </c>
    </row>
    <row r="229" spans="2:20" s="116" customFormat="1" ht="16.5" customHeight="1">
      <c r="B229" s="153">
        <v>376</v>
      </c>
      <c r="C229" s="315" t="s">
        <v>57</v>
      </c>
      <c r="D229" s="315"/>
      <c r="E229" s="153">
        <v>200</v>
      </c>
      <c r="F229" s="153">
        <v>0.2</v>
      </c>
      <c r="G229" s="153">
        <v>0.05</v>
      </c>
      <c r="H229" s="153">
        <v>15.01</v>
      </c>
      <c r="I229" s="153">
        <v>61</v>
      </c>
      <c r="J229" s="153">
        <v>0</v>
      </c>
      <c r="K229" s="153">
        <v>0.01</v>
      </c>
      <c r="L229" s="153">
        <v>9</v>
      </c>
      <c r="M229" s="153">
        <v>1E-4</v>
      </c>
      <c r="N229" s="153">
        <v>4.4999999999999998E-2</v>
      </c>
      <c r="O229" s="153">
        <v>5.25</v>
      </c>
      <c r="P229" s="153">
        <v>8.24</v>
      </c>
      <c r="Q229" s="153">
        <v>8.0000000000000002E-3</v>
      </c>
      <c r="R229" s="153">
        <v>0</v>
      </c>
      <c r="S229" s="153">
        <v>4.4000000000000004</v>
      </c>
      <c r="T229" s="153">
        <v>0.87</v>
      </c>
    </row>
    <row r="230" spans="2:20">
      <c r="B230" s="146" t="s">
        <v>270</v>
      </c>
      <c r="C230" s="316" t="s">
        <v>88</v>
      </c>
      <c r="D230" s="316"/>
      <c r="E230" s="146">
        <v>40</v>
      </c>
      <c r="F230" s="146">
        <v>3.04</v>
      </c>
      <c r="G230" s="146">
        <v>0.32</v>
      </c>
      <c r="H230" s="146">
        <v>19.68</v>
      </c>
      <c r="I230" s="146">
        <v>88.8</v>
      </c>
      <c r="J230" s="146">
        <v>0.04</v>
      </c>
      <c r="K230" s="146">
        <v>0.01</v>
      </c>
      <c r="L230" s="146">
        <v>0.88</v>
      </c>
      <c r="M230" s="146">
        <v>0</v>
      </c>
      <c r="N230" s="146">
        <v>0.7</v>
      </c>
      <c r="O230" s="146">
        <v>8</v>
      </c>
      <c r="P230" s="146">
        <v>26</v>
      </c>
      <c r="Q230" s="146">
        <v>8.0000000000000002E-3</v>
      </c>
      <c r="R230" s="146">
        <v>3.0000000000000001E-3</v>
      </c>
      <c r="S230" s="146">
        <v>0</v>
      </c>
      <c r="T230" s="146">
        <v>0.44</v>
      </c>
    </row>
    <row r="231" spans="2:20">
      <c r="B231" s="312" t="s">
        <v>285</v>
      </c>
      <c r="C231" s="313"/>
      <c r="D231" s="314"/>
      <c r="E231" s="147">
        <f>SUM(E226:E230)</f>
        <v>520</v>
      </c>
      <c r="F231" s="147">
        <f>SUM(F226:F230)</f>
        <v>16.97</v>
      </c>
      <c r="G231" s="147">
        <f t="shared" ref="G231:T231" si="69">SUM(G226:G230)</f>
        <v>15.94</v>
      </c>
      <c r="H231" s="147">
        <f t="shared" si="69"/>
        <v>68.039999999999992</v>
      </c>
      <c r="I231" s="147">
        <f t="shared" si="69"/>
        <v>470.83</v>
      </c>
      <c r="J231" s="147">
        <f t="shared" si="69"/>
        <v>0.19900000000000001</v>
      </c>
      <c r="K231" s="147">
        <f t="shared" si="69"/>
        <v>0.13</v>
      </c>
      <c r="L231" s="147">
        <f t="shared" si="69"/>
        <v>16.37</v>
      </c>
      <c r="M231" s="147">
        <f t="shared" si="69"/>
        <v>9.01E-2</v>
      </c>
      <c r="N231" s="147">
        <f t="shared" si="69"/>
        <v>0.77499999999999991</v>
      </c>
      <c r="O231" s="147">
        <f t="shared" si="69"/>
        <v>156.55000000000001</v>
      </c>
      <c r="P231" s="147">
        <f t="shared" si="69"/>
        <v>321.24</v>
      </c>
      <c r="Q231" s="147">
        <f t="shared" si="69"/>
        <v>8.0000000000000016E-2</v>
      </c>
      <c r="R231" s="147">
        <f t="shared" si="69"/>
        <v>4.0000000000000001E-3</v>
      </c>
      <c r="S231" s="147">
        <f t="shared" si="69"/>
        <v>75.400000000000006</v>
      </c>
      <c r="T231" s="147">
        <f t="shared" si="69"/>
        <v>3.23</v>
      </c>
    </row>
    <row r="232" spans="2:20">
      <c r="B232" s="317" t="s">
        <v>265</v>
      </c>
      <c r="C232" s="317"/>
      <c r="D232" s="317"/>
      <c r="E232" s="317"/>
      <c r="F232" s="142">
        <f t="shared" ref="F232:T232" si="70">F231/F249</f>
        <v>0.22038961038961039</v>
      </c>
      <c r="G232" s="142">
        <f t="shared" si="70"/>
        <v>0.20177215189873418</v>
      </c>
      <c r="H232" s="142">
        <f t="shared" si="70"/>
        <v>0.20310447761194028</v>
      </c>
      <c r="I232" s="142">
        <f t="shared" si="70"/>
        <v>0.2003531914893617</v>
      </c>
      <c r="J232" s="142">
        <f t="shared" si="70"/>
        <v>0.16583333333333336</v>
      </c>
      <c r="K232" s="142">
        <f t="shared" si="70"/>
        <v>9.285714285714286E-2</v>
      </c>
      <c r="L232" s="142">
        <f t="shared" si="70"/>
        <v>0.27283333333333337</v>
      </c>
      <c r="M232" s="142">
        <f t="shared" si="70"/>
        <v>0.12871428571428573</v>
      </c>
      <c r="N232" s="142">
        <f t="shared" si="70"/>
        <v>7.7499999999999986E-2</v>
      </c>
      <c r="O232" s="142">
        <f t="shared" si="70"/>
        <v>0.14231818181818182</v>
      </c>
      <c r="P232" s="142">
        <f t="shared" si="70"/>
        <v>0.29203636363636365</v>
      </c>
      <c r="Q232" s="142">
        <f t="shared" si="70"/>
        <v>8.0000000000000019E-3</v>
      </c>
      <c r="R232" s="142">
        <f t="shared" si="70"/>
        <v>0.04</v>
      </c>
      <c r="S232" s="142">
        <f t="shared" si="70"/>
        <v>0.30160000000000003</v>
      </c>
      <c r="T232" s="142">
        <f t="shared" si="70"/>
        <v>0.26916666666666667</v>
      </c>
    </row>
    <row r="233" spans="2:20">
      <c r="B233" s="317" t="s">
        <v>266</v>
      </c>
      <c r="C233" s="317"/>
      <c r="D233" s="317"/>
      <c r="E233" s="317"/>
      <c r="F233" s="317"/>
      <c r="G233" s="317"/>
      <c r="H233" s="317"/>
      <c r="I233" s="317"/>
      <c r="J233" s="317"/>
      <c r="K233" s="317"/>
      <c r="L233" s="317"/>
      <c r="M233" s="317"/>
      <c r="N233" s="317"/>
      <c r="O233" s="317"/>
      <c r="P233" s="317"/>
      <c r="Q233" s="317"/>
      <c r="R233" s="317"/>
      <c r="S233" s="317"/>
      <c r="T233" s="317"/>
    </row>
    <row r="234" spans="2:20">
      <c r="B234" s="146">
        <v>45</v>
      </c>
      <c r="C234" s="316" t="s">
        <v>220</v>
      </c>
      <c r="D234" s="316"/>
      <c r="E234" s="146">
        <v>60</v>
      </c>
      <c r="F234" s="146">
        <v>0.81</v>
      </c>
      <c r="G234" s="146">
        <v>3.7</v>
      </c>
      <c r="H234" s="146">
        <v>4.6100000000000003</v>
      </c>
      <c r="I234" s="146">
        <v>54.96</v>
      </c>
      <c r="J234" s="146">
        <v>0.03</v>
      </c>
      <c r="K234" s="146">
        <v>0.04</v>
      </c>
      <c r="L234" s="146">
        <v>7.95</v>
      </c>
      <c r="M234" s="146">
        <v>0.03</v>
      </c>
      <c r="N234" s="146"/>
      <c r="O234" s="146">
        <v>20.13</v>
      </c>
      <c r="P234" s="146">
        <v>24.1</v>
      </c>
      <c r="Q234" s="146"/>
      <c r="R234" s="146">
        <v>0</v>
      </c>
      <c r="S234" s="146">
        <v>12.81</v>
      </c>
      <c r="T234" s="146">
        <v>0.53</v>
      </c>
    </row>
    <row r="235" spans="2:20" ht="28.5" customHeight="1">
      <c r="B235" s="146">
        <v>113</v>
      </c>
      <c r="C235" s="316" t="s">
        <v>221</v>
      </c>
      <c r="D235" s="316"/>
      <c r="E235" s="146" t="s">
        <v>311</v>
      </c>
      <c r="F235" s="146">
        <v>6.9</v>
      </c>
      <c r="G235" s="146">
        <v>6.95</v>
      </c>
      <c r="H235" s="146">
        <v>18.760000000000002</v>
      </c>
      <c r="I235" s="146">
        <v>165.2</v>
      </c>
      <c r="J235" s="146">
        <v>0.18</v>
      </c>
      <c r="K235" s="146">
        <v>0.17</v>
      </c>
      <c r="L235" s="146">
        <v>4.2</v>
      </c>
      <c r="M235" s="146">
        <v>0.82</v>
      </c>
      <c r="N235" s="146">
        <v>0.3</v>
      </c>
      <c r="O235" s="146">
        <v>34.700000000000003</v>
      </c>
      <c r="P235" s="146">
        <v>75.88</v>
      </c>
      <c r="Q235" s="146">
        <v>0.1</v>
      </c>
      <c r="R235" s="146">
        <v>0</v>
      </c>
      <c r="S235" s="146">
        <v>14.5</v>
      </c>
      <c r="T235" s="146">
        <v>0.99</v>
      </c>
    </row>
    <row r="236" spans="2:20" ht="18.75" customHeight="1">
      <c r="B236" s="146">
        <v>293</v>
      </c>
      <c r="C236" s="316" t="s">
        <v>312</v>
      </c>
      <c r="D236" s="316"/>
      <c r="E236" s="146">
        <v>90</v>
      </c>
      <c r="F236" s="146">
        <v>19</v>
      </c>
      <c r="G236" s="146">
        <v>10.87</v>
      </c>
      <c r="H236" s="146">
        <v>0.17</v>
      </c>
      <c r="I236" s="146">
        <v>174.53</v>
      </c>
      <c r="J236" s="146">
        <v>0.09</v>
      </c>
      <c r="K236" s="146">
        <v>0.17</v>
      </c>
      <c r="L236" s="146">
        <v>0.02</v>
      </c>
      <c r="M236" s="146">
        <v>0</v>
      </c>
      <c r="N236" s="146">
        <v>0</v>
      </c>
      <c r="O236" s="146">
        <v>19.5</v>
      </c>
      <c r="P236" s="146">
        <v>1.6</v>
      </c>
      <c r="Q236" s="146">
        <v>0</v>
      </c>
      <c r="R236" s="146">
        <v>0</v>
      </c>
      <c r="S236" s="146">
        <v>17.079999999999998</v>
      </c>
      <c r="T236" s="146">
        <v>1.86</v>
      </c>
    </row>
    <row r="237" spans="2:20">
      <c r="B237" s="146">
        <v>139</v>
      </c>
      <c r="C237" s="316" t="s">
        <v>183</v>
      </c>
      <c r="D237" s="316"/>
      <c r="E237" s="146">
        <v>150</v>
      </c>
      <c r="F237" s="146">
        <v>2.77</v>
      </c>
      <c r="G237" s="146">
        <v>4.84</v>
      </c>
      <c r="H237" s="146">
        <v>10.78</v>
      </c>
      <c r="I237" s="146">
        <v>97.76</v>
      </c>
      <c r="J237" s="146">
        <v>0.64</v>
      </c>
      <c r="K237" s="146">
        <v>0.13</v>
      </c>
      <c r="L237" s="146">
        <v>0.16</v>
      </c>
      <c r="M237" s="146">
        <v>2.5000000000000001E-2</v>
      </c>
      <c r="N237" s="146">
        <v>0.01</v>
      </c>
      <c r="O237" s="146">
        <v>73.05</v>
      </c>
      <c r="P237" s="146">
        <v>54</v>
      </c>
      <c r="Q237" s="146">
        <v>3.5</v>
      </c>
      <c r="R237" s="146">
        <v>1.7000000000000001E-2</v>
      </c>
      <c r="S237" s="146">
        <v>27.75</v>
      </c>
      <c r="T237" s="146">
        <v>1.0900000000000001</v>
      </c>
    </row>
    <row r="238" spans="2:20" ht="30" customHeight="1">
      <c r="B238" s="146">
        <v>349</v>
      </c>
      <c r="C238" s="316" t="s">
        <v>313</v>
      </c>
      <c r="D238" s="316"/>
      <c r="E238" s="146">
        <v>200</v>
      </c>
      <c r="F238" s="146">
        <v>0.22</v>
      </c>
      <c r="G238" s="146"/>
      <c r="H238" s="146">
        <v>24.42</v>
      </c>
      <c r="I238" s="146">
        <v>98.56</v>
      </c>
      <c r="J238" s="146"/>
      <c r="K238" s="146"/>
      <c r="L238" s="146">
        <v>0.2</v>
      </c>
      <c r="M238" s="146"/>
      <c r="N238" s="146"/>
      <c r="O238" s="146">
        <v>22.6</v>
      </c>
      <c r="P238" s="146">
        <v>7.7</v>
      </c>
      <c r="Q238" s="146">
        <v>0</v>
      </c>
      <c r="R238" s="146">
        <v>0</v>
      </c>
      <c r="S238" s="146">
        <v>3</v>
      </c>
      <c r="T238" s="146">
        <v>0.66</v>
      </c>
    </row>
    <row r="239" spans="2:20" ht="19.5" customHeight="1">
      <c r="B239" s="146" t="s">
        <v>270</v>
      </c>
      <c r="C239" s="316" t="s">
        <v>135</v>
      </c>
      <c r="D239" s="316"/>
      <c r="E239" s="146">
        <v>40</v>
      </c>
      <c r="F239" s="146">
        <v>2.64</v>
      </c>
      <c r="G239" s="146">
        <v>0.48</v>
      </c>
      <c r="H239" s="146">
        <v>13.68</v>
      </c>
      <c r="I239" s="146">
        <v>69.599999999999994</v>
      </c>
      <c r="J239" s="146">
        <v>0.08</v>
      </c>
      <c r="K239" s="146">
        <v>0.04</v>
      </c>
      <c r="L239" s="146">
        <v>0</v>
      </c>
      <c r="M239" s="146">
        <v>0</v>
      </c>
      <c r="N239" s="146">
        <v>2.4</v>
      </c>
      <c r="O239" s="146">
        <v>14</v>
      </c>
      <c r="P239" s="146">
        <v>63.2</v>
      </c>
      <c r="Q239" s="146">
        <v>1.2</v>
      </c>
      <c r="R239" s="146">
        <v>1E-3</v>
      </c>
      <c r="S239" s="146">
        <v>9.4</v>
      </c>
      <c r="T239" s="146">
        <v>0.78</v>
      </c>
    </row>
    <row r="240" spans="2:20">
      <c r="B240" s="146" t="s">
        <v>270</v>
      </c>
      <c r="C240" s="316" t="s">
        <v>35</v>
      </c>
      <c r="D240" s="316"/>
      <c r="E240" s="146">
        <v>30</v>
      </c>
      <c r="F240" s="146">
        <v>1.52</v>
      </c>
      <c r="G240" s="146">
        <v>0.16</v>
      </c>
      <c r="H240" s="146">
        <v>9.84</v>
      </c>
      <c r="I240" s="146">
        <v>46.9</v>
      </c>
      <c r="J240" s="146">
        <v>0.02</v>
      </c>
      <c r="K240" s="146">
        <v>0.01</v>
      </c>
      <c r="L240" s="146">
        <v>0.44</v>
      </c>
      <c r="M240" s="146">
        <v>0</v>
      </c>
      <c r="N240" s="146">
        <v>0.7</v>
      </c>
      <c r="O240" s="146">
        <v>4</v>
      </c>
      <c r="P240" s="146">
        <v>13</v>
      </c>
      <c r="Q240" s="146">
        <v>8.0000000000000002E-3</v>
      </c>
      <c r="R240" s="146">
        <v>1E-3</v>
      </c>
      <c r="S240" s="146">
        <v>0</v>
      </c>
      <c r="T240" s="146">
        <v>0.22</v>
      </c>
    </row>
    <row r="241" spans="2:20" ht="27" customHeight="1">
      <c r="B241" s="317" t="s">
        <v>271</v>
      </c>
      <c r="C241" s="317"/>
      <c r="D241" s="317"/>
      <c r="E241" s="147">
        <f>E234+E236+E237+E238+E239+E240+210</f>
        <v>780</v>
      </c>
      <c r="F241" s="147">
        <f>SUM(F234:F240)</f>
        <v>33.86</v>
      </c>
      <c r="G241" s="147">
        <f t="shared" ref="G241:T241" si="71">SUM(G234:G240)</f>
        <v>27</v>
      </c>
      <c r="H241" s="147">
        <f t="shared" si="71"/>
        <v>82.26</v>
      </c>
      <c r="I241" s="147">
        <f t="shared" si="71"/>
        <v>707.51</v>
      </c>
      <c r="J241" s="147">
        <f t="shared" si="71"/>
        <v>1.04</v>
      </c>
      <c r="K241" s="147">
        <f t="shared" si="71"/>
        <v>0.56000000000000005</v>
      </c>
      <c r="L241" s="147">
        <f t="shared" si="71"/>
        <v>12.969999999999999</v>
      </c>
      <c r="M241" s="147">
        <f t="shared" si="71"/>
        <v>0.875</v>
      </c>
      <c r="N241" s="147">
        <f t="shared" si="71"/>
        <v>3.41</v>
      </c>
      <c r="O241" s="147">
        <f t="shared" si="71"/>
        <v>187.98</v>
      </c>
      <c r="P241" s="147">
        <f t="shared" si="71"/>
        <v>239.47999999999996</v>
      </c>
      <c r="Q241" s="147">
        <f t="shared" si="71"/>
        <v>4.8079999999999998</v>
      </c>
      <c r="R241" s="147">
        <f t="shared" si="71"/>
        <v>1.9000000000000003E-2</v>
      </c>
      <c r="S241" s="147">
        <f t="shared" si="71"/>
        <v>84.54</v>
      </c>
      <c r="T241" s="147">
        <f t="shared" si="71"/>
        <v>6.13</v>
      </c>
    </row>
    <row r="242" spans="2:20" ht="18" customHeight="1">
      <c r="B242" s="317" t="s">
        <v>265</v>
      </c>
      <c r="C242" s="317"/>
      <c r="D242" s="317"/>
      <c r="E242" s="317"/>
      <c r="F242" s="142">
        <f>F241/F249</f>
        <v>0.43974025974025971</v>
      </c>
      <c r="G242" s="142">
        <v>0.33900000000000002</v>
      </c>
      <c r="H242" s="142">
        <v>0.252</v>
      </c>
      <c r="I242" s="142">
        <v>0.30499999999999999</v>
      </c>
      <c r="J242" s="142">
        <v>0.876</v>
      </c>
      <c r="K242" s="142">
        <v>0.39500000000000002</v>
      </c>
      <c r="L242" s="142">
        <v>0.22700000000000001</v>
      </c>
      <c r="M242" s="145">
        <v>2.2639999999999998</v>
      </c>
      <c r="N242" s="142">
        <v>0.36099999999999999</v>
      </c>
      <c r="O242" s="142">
        <v>0.17399999999999999</v>
      </c>
      <c r="P242" s="142">
        <v>0.22700000000000001</v>
      </c>
      <c r="Q242" s="142">
        <v>0.48199999999999998</v>
      </c>
      <c r="R242" s="142">
        <v>0.6</v>
      </c>
      <c r="S242" s="142">
        <v>0.34899999999999998</v>
      </c>
      <c r="T242" s="142">
        <v>0.52500000000000002</v>
      </c>
    </row>
    <row r="243" spans="2:20">
      <c r="B243" s="317" t="s">
        <v>272</v>
      </c>
      <c r="C243" s="317"/>
      <c r="D243" s="317"/>
      <c r="E243" s="317"/>
      <c r="F243" s="317"/>
      <c r="G243" s="317"/>
      <c r="H243" s="317"/>
      <c r="I243" s="317"/>
      <c r="J243" s="317"/>
      <c r="K243" s="317"/>
      <c r="L243" s="317"/>
      <c r="M243" s="317"/>
      <c r="N243" s="317"/>
      <c r="O243" s="317"/>
      <c r="P243" s="317"/>
      <c r="Q243" s="317"/>
      <c r="R243" s="317"/>
      <c r="S243" s="317"/>
      <c r="T243" s="317"/>
    </row>
    <row r="244" spans="2:20" ht="19.5" customHeight="1">
      <c r="B244" s="153" t="s">
        <v>270</v>
      </c>
      <c r="C244" s="315" t="s">
        <v>400</v>
      </c>
      <c r="D244" s="315"/>
      <c r="E244" s="153">
        <v>100</v>
      </c>
      <c r="F244" s="153">
        <v>7.86</v>
      </c>
      <c r="G244" s="153">
        <v>5.57</v>
      </c>
      <c r="H244" s="153">
        <v>53.71</v>
      </c>
      <c r="I244" s="153">
        <v>297.14</v>
      </c>
      <c r="J244" s="153">
        <v>0.1</v>
      </c>
      <c r="K244" s="153">
        <v>0.04</v>
      </c>
      <c r="L244" s="153">
        <v>0</v>
      </c>
      <c r="M244" s="153">
        <v>0.1</v>
      </c>
      <c r="N244" s="153"/>
      <c r="O244" s="153">
        <v>16.170000000000002</v>
      </c>
      <c r="P244" s="153">
        <v>0</v>
      </c>
      <c r="Q244" s="153">
        <v>0</v>
      </c>
      <c r="R244" s="153">
        <v>0</v>
      </c>
      <c r="S244" s="153">
        <v>11.19</v>
      </c>
      <c r="T244" s="153">
        <v>0.9</v>
      </c>
    </row>
    <row r="245" spans="2:20" ht="25.5" customHeight="1">
      <c r="B245" s="153">
        <v>349</v>
      </c>
      <c r="C245" s="315" t="s">
        <v>287</v>
      </c>
      <c r="D245" s="315"/>
      <c r="E245" s="153">
        <v>200</v>
      </c>
      <c r="F245" s="153">
        <v>0.22</v>
      </c>
      <c r="G245" s="153">
        <v>0</v>
      </c>
      <c r="H245" s="153">
        <v>24.42</v>
      </c>
      <c r="I245" s="153">
        <v>98.56</v>
      </c>
      <c r="J245" s="153"/>
      <c r="K245" s="153"/>
      <c r="L245" s="153">
        <v>0.2</v>
      </c>
      <c r="M245" s="153"/>
      <c r="N245" s="153"/>
      <c r="O245" s="153">
        <v>22.6</v>
      </c>
      <c r="P245" s="153">
        <v>7.7</v>
      </c>
      <c r="Q245" s="153">
        <v>0</v>
      </c>
      <c r="R245" s="153">
        <v>0</v>
      </c>
      <c r="S245" s="153">
        <v>3</v>
      </c>
      <c r="T245" s="153">
        <v>0.66</v>
      </c>
    </row>
    <row r="246" spans="2:20" ht="18" customHeight="1">
      <c r="B246" s="312" t="s">
        <v>274</v>
      </c>
      <c r="C246" s="313"/>
      <c r="D246" s="314"/>
      <c r="E246" s="164">
        <f>E244+E245</f>
        <v>300</v>
      </c>
      <c r="F246" s="164">
        <f t="shared" ref="F246:T246" si="72">F244+F245</f>
        <v>8.08</v>
      </c>
      <c r="G246" s="164">
        <f t="shared" si="72"/>
        <v>5.57</v>
      </c>
      <c r="H246" s="164">
        <f t="shared" si="72"/>
        <v>78.13</v>
      </c>
      <c r="I246" s="164">
        <f t="shared" si="72"/>
        <v>395.7</v>
      </c>
      <c r="J246" s="164">
        <f t="shared" si="72"/>
        <v>0.1</v>
      </c>
      <c r="K246" s="164">
        <f t="shared" si="72"/>
        <v>0.04</v>
      </c>
      <c r="L246" s="164">
        <f t="shared" si="72"/>
        <v>0.2</v>
      </c>
      <c r="M246" s="164">
        <f t="shared" si="72"/>
        <v>0.1</v>
      </c>
      <c r="N246" s="164">
        <f t="shared" si="72"/>
        <v>0</v>
      </c>
      <c r="O246" s="164">
        <f t="shared" si="72"/>
        <v>38.770000000000003</v>
      </c>
      <c r="P246" s="164">
        <f t="shared" si="72"/>
        <v>7.7</v>
      </c>
      <c r="Q246" s="164">
        <f t="shared" si="72"/>
        <v>0</v>
      </c>
      <c r="R246" s="164">
        <f t="shared" si="72"/>
        <v>0</v>
      </c>
      <c r="S246" s="164">
        <f t="shared" si="72"/>
        <v>14.19</v>
      </c>
      <c r="T246" s="164">
        <f t="shared" si="72"/>
        <v>1.56</v>
      </c>
    </row>
    <row r="247" spans="2:20">
      <c r="B247" s="317" t="s">
        <v>265</v>
      </c>
      <c r="C247" s="317"/>
      <c r="D247" s="317"/>
      <c r="E247" s="317"/>
      <c r="F247" s="142">
        <f>F246/F249</f>
        <v>0.10493506493506494</v>
      </c>
      <c r="G247" s="142">
        <f t="shared" ref="G247:T247" si="73">G246/G249</f>
        <v>7.0506329113924057E-2</v>
      </c>
      <c r="H247" s="142">
        <f t="shared" si="73"/>
        <v>0.2332238805970149</v>
      </c>
      <c r="I247" s="142">
        <f t="shared" si="73"/>
        <v>0.16838297872340424</v>
      </c>
      <c r="J247" s="142">
        <f t="shared" si="73"/>
        <v>8.3333333333333343E-2</v>
      </c>
      <c r="K247" s="142">
        <f t="shared" si="73"/>
        <v>2.8571428571428574E-2</v>
      </c>
      <c r="L247" s="142">
        <f t="shared" si="73"/>
        <v>3.3333333333333335E-3</v>
      </c>
      <c r="M247" s="142">
        <f t="shared" si="73"/>
        <v>0.14285714285714288</v>
      </c>
      <c r="N247" s="142">
        <f t="shared" si="73"/>
        <v>0</v>
      </c>
      <c r="O247" s="142">
        <f t="shared" si="73"/>
        <v>3.5245454545454545E-2</v>
      </c>
      <c r="P247" s="142">
        <f t="shared" si="73"/>
        <v>7.0000000000000001E-3</v>
      </c>
      <c r="Q247" s="142">
        <f t="shared" si="73"/>
        <v>0</v>
      </c>
      <c r="R247" s="142">
        <f t="shared" si="73"/>
        <v>0</v>
      </c>
      <c r="S247" s="142">
        <f t="shared" si="73"/>
        <v>5.6759999999999998E-2</v>
      </c>
      <c r="T247" s="142">
        <f t="shared" si="73"/>
        <v>0.13</v>
      </c>
    </row>
    <row r="248" spans="2:20">
      <c r="B248" s="317" t="s">
        <v>275</v>
      </c>
      <c r="C248" s="317"/>
      <c r="D248" s="317"/>
      <c r="E248" s="317"/>
      <c r="F248" s="147">
        <f>F246+F241+F231</f>
        <v>58.91</v>
      </c>
      <c r="G248" s="147">
        <f t="shared" ref="G248:T248" si="74">G246+G241+G231</f>
        <v>48.51</v>
      </c>
      <c r="H248" s="147">
        <f t="shared" si="74"/>
        <v>228.42999999999998</v>
      </c>
      <c r="I248" s="147">
        <f t="shared" si="74"/>
        <v>1574.04</v>
      </c>
      <c r="J248" s="147">
        <f t="shared" si="74"/>
        <v>1.3390000000000002</v>
      </c>
      <c r="K248" s="147">
        <f t="shared" si="74"/>
        <v>0.73000000000000009</v>
      </c>
      <c r="L248" s="147">
        <f t="shared" si="74"/>
        <v>29.54</v>
      </c>
      <c r="M248" s="147">
        <f t="shared" si="74"/>
        <v>1.0650999999999999</v>
      </c>
      <c r="N248" s="147">
        <f t="shared" si="74"/>
        <v>4.1850000000000005</v>
      </c>
      <c r="O248" s="147">
        <f t="shared" si="74"/>
        <v>383.3</v>
      </c>
      <c r="P248" s="147">
        <f t="shared" si="74"/>
        <v>568.41999999999996</v>
      </c>
      <c r="Q248" s="147">
        <f t="shared" si="74"/>
        <v>4.8879999999999999</v>
      </c>
      <c r="R248" s="147">
        <f t="shared" si="74"/>
        <v>2.3000000000000003E-2</v>
      </c>
      <c r="S248" s="147">
        <f t="shared" si="74"/>
        <v>174.13</v>
      </c>
      <c r="T248" s="147">
        <f t="shared" si="74"/>
        <v>10.92</v>
      </c>
    </row>
    <row r="249" spans="2:20">
      <c r="B249" s="317" t="s">
        <v>276</v>
      </c>
      <c r="C249" s="317"/>
      <c r="D249" s="317"/>
      <c r="E249" s="317"/>
      <c r="F249" s="146">
        <v>77</v>
      </c>
      <c r="G249" s="146">
        <v>79</v>
      </c>
      <c r="H249" s="146">
        <v>335</v>
      </c>
      <c r="I249" s="146">
        <v>2350</v>
      </c>
      <c r="J249" s="146">
        <v>1.2</v>
      </c>
      <c r="K249" s="146">
        <v>1.4</v>
      </c>
      <c r="L249" s="146">
        <v>60</v>
      </c>
      <c r="M249" s="146">
        <v>0.7</v>
      </c>
      <c r="N249" s="146">
        <v>10</v>
      </c>
      <c r="O249" s="146">
        <v>1100</v>
      </c>
      <c r="P249" s="146">
        <v>1100</v>
      </c>
      <c r="Q249" s="146">
        <v>10</v>
      </c>
      <c r="R249" s="146">
        <v>0.1</v>
      </c>
      <c r="S249" s="146">
        <v>250</v>
      </c>
      <c r="T249" s="146">
        <v>12</v>
      </c>
    </row>
    <row r="250" spans="2:20">
      <c r="B250" s="317" t="s">
        <v>265</v>
      </c>
      <c r="C250" s="317"/>
      <c r="D250" s="317"/>
      <c r="E250" s="317"/>
      <c r="F250" s="142">
        <f>F248/F249</f>
        <v>0.765064935064935</v>
      </c>
      <c r="G250" s="142">
        <f t="shared" ref="G250:T250" si="75">G248/G249</f>
        <v>0.61405063291139239</v>
      </c>
      <c r="H250" s="142">
        <f t="shared" si="75"/>
        <v>0.68188059701492532</v>
      </c>
      <c r="I250" s="142">
        <f t="shared" si="75"/>
        <v>0.66980425531914889</v>
      </c>
      <c r="J250" s="142">
        <f t="shared" si="75"/>
        <v>1.1158333333333335</v>
      </c>
      <c r="K250" s="142">
        <f t="shared" si="75"/>
        <v>0.52142857142857157</v>
      </c>
      <c r="L250" s="142">
        <f t="shared" si="75"/>
        <v>0.49233333333333335</v>
      </c>
      <c r="M250" s="142">
        <f t="shared" si="75"/>
        <v>1.5215714285714286</v>
      </c>
      <c r="N250" s="142">
        <f t="shared" si="75"/>
        <v>0.41850000000000004</v>
      </c>
      <c r="O250" s="142">
        <f t="shared" si="75"/>
        <v>0.34845454545454546</v>
      </c>
      <c r="P250" s="142">
        <f t="shared" si="75"/>
        <v>0.51674545454545451</v>
      </c>
      <c r="Q250" s="142">
        <f t="shared" si="75"/>
        <v>0.48880000000000001</v>
      </c>
      <c r="R250" s="142">
        <f t="shared" si="75"/>
        <v>0.23</v>
      </c>
      <c r="S250" s="142">
        <f t="shared" si="75"/>
        <v>0.69652000000000003</v>
      </c>
      <c r="T250" s="142">
        <f t="shared" si="75"/>
        <v>0.91</v>
      </c>
    </row>
    <row r="251" spans="2:20">
      <c r="B251" s="319"/>
      <c r="C251" s="319"/>
      <c r="D251" s="319"/>
      <c r="E251" s="319"/>
      <c r="F251" s="319"/>
      <c r="G251" s="319"/>
      <c r="H251" s="319"/>
      <c r="I251" s="319"/>
      <c r="J251" s="146"/>
      <c r="K251" s="146"/>
      <c r="L251" s="146"/>
      <c r="M251" s="319" t="s">
        <v>229</v>
      </c>
      <c r="N251" s="319"/>
      <c r="O251" s="319"/>
      <c r="P251" s="319"/>
      <c r="Q251" s="319"/>
      <c r="R251" s="319"/>
      <c r="S251" s="319"/>
      <c r="T251" s="319"/>
    </row>
    <row r="252" spans="2:20">
      <c r="B252" s="146"/>
      <c r="C252" s="146"/>
      <c r="D252" s="147"/>
      <c r="E252" s="147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</row>
    <row r="253" spans="2:20">
      <c r="B253" s="317" t="s">
        <v>310</v>
      </c>
      <c r="C253" s="317"/>
      <c r="D253" s="317"/>
      <c r="E253" s="317"/>
      <c r="F253" s="317"/>
      <c r="G253" s="317"/>
      <c r="H253" s="317"/>
      <c r="I253" s="317"/>
      <c r="J253" s="317"/>
      <c r="K253" s="317"/>
      <c r="L253" s="317"/>
      <c r="M253" s="317"/>
      <c r="N253" s="317"/>
      <c r="O253" s="317"/>
      <c r="P253" s="317"/>
      <c r="Q253" s="317"/>
      <c r="R253" s="317"/>
      <c r="S253" s="317"/>
      <c r="T253" s="317"/>
    </row>
    <row r="254" spans="2:20">
      <c r="B254" s="317" t="s">
        <v>291</v>
      </c>
      <c r="C254" s="317"/>
      <c r="D254" s="146"/>
      <c r="E254" s="146"/>
      <c r="F254" s="146"/>
      <c r="G254" s="319" t="s">
        <v>292</v>
      </c>
      <c r="H254" s="319"/>
      <c r="I254" s="319"/>
      <c r="J254" s="146"/>
      <c r="K254" s="146"/>
      <c r="L254" s="317" t="s">
        <v>233</v>
      </c>
      <c r="M254" s="317"/>
      <c r="N254" s="319" t="s">
        <v>234</v>
      </c>
      <c r="O254" s="319"/>
      <c r="P254" s="319"/>
      <c r="Q254" s="319"/>
      <c r="R254" s="146"/>
      <c r="S254" s="146"/>
      <c r="T254" s="146"/>
    </row>
    <row r="255" spans="2:20">
      <c r="B255" s="146"/>
      <c r="C255" s="146"/>
      <c r="D255" s="146"/>
      <c r="E255" s="317" t="s">
        <v>235</v>
      </c>
      <c r="F255" s="317"/>
      <c r="G255" s="146">
        <v>2</v>
      </c>
      <c r="H255" s="146"/>
      <c r="I255" s="146"/>
      <c r="J255" s="146"/>
      <c r="K255" s="146"/>
      <c r="L255" s="317" t="s">
        <v>236</v>
      </c>
      <c r="M255" s="317"/>
      <c r="N255" s="319" t="s">
        <v>237</v>
      </c>
      <c r="O255" s="319"/>
      <c r="P255" s="319"/>
      <c r="Q255" s="319"/>
      <c r="R255" s="319"/>
      <c r="S255" s="319"/>
      <c r="T255" s="319"/>
    </row>
    <row r="256" spans="2:20">
      <c r="B256" s="149" t="s">
        <v>279</v>
      </c>
      <c r="C256" s="321" t="s">
        <v>239</v>
      </c>
      <c r="D256" s="321"/>
      <c r="E256" s="321" t="s">
        <v>240</v>
      </c>
      <c r="F256" s="321" t="s">
        <v>241</v>
      </c>
      <c r="G256" s="321"/>
      <c r="H256" s="321"/>
      <c r="I256" s="149" t="s">
        <v>242</v>
      </c>
      <c r="J256" s="321" t="s">
        <v>244</v>
      </c>
      <c r="K256" s="321"/>
      <c r="L256" s="321"/>
      <c r="M256" s="321"/>
      <c r="N256" s="321"/>
      <c r="O256" s="321" t="s">
        <v>245</v>
      </c>
      <c r="P256" s="321"/>
      <c r="Q256" s="321"/>
      <c r="R256" s="321"/>
      <c r="S256" s="321"/>
      <c r="T256" s="321"/>
    </row>
    <row r="257" spans="2:20" ht="51">
      <c r="B257" s="149" t="s">
        <v>280</v>
      </c>
      <c r="C257" s="321"/>
      <c r="D257" s="321"/>
      <c r="E257" s="321"/>
      <c r="F257" s="149" t="s">
        <v>246</v>
      </c>
      <c r="G257" s="149" t="s">
        <v>247</v>
      </c>
      <c r="H257" s="149" t="s">
        <v>248</v>
      </c>
      <c r="I257" s="149" t="s">
        <v>243</v>
      </c>
      <c r="J257" s="149" t="s">
        <v>249</v>
      </c>
      <c r="K257" s="149" t="s">
        <v>250</v>
      </c>
      <c r="L257" s="149" t="s">
        <v>251</v>
      </c>
      <c r="M257" s="149" t="s">
        <v>252</v>
      </c>
      <c r="N257" s="149" t="s">
        <v>253</v>
      </c>
      <c r="O257" s="149" t="s">
        <v>254</v>
      </c>
      <c r="P257" s="149" t="s">
        <v>255</v>
      </c>
      <c r="Q257" s="149" t="s">
        <v>256</v>
      </c>
      <c r="R257" s="149" t="s">
        <v>257</v>
      </c>
      <c r="S257" s="149" t="s">
        <v>258</v>
      </c>
      <c r="T257" s="149" t="s">
        <v>259</v>
      </c>
    </row>
    <row r="258" spans="2:20">
      <c r="B258" s="150">
        <v>1</v>
      </c>
      <c r="C258" s="318">
        <v>2</v>
      </c>
      <c r="D258" s="318"/>
      <c r="E258" s="150">
        <v>3</v>
      </c>
      <c r="F258" s="150">
        <v>4</v>
      </c>
      <c r="G258" s="150">
        <v>5</v>
      </c>
      <c r="H258" s="150">
        <v>6</v>
      </c>
      <c r="I258" s="150">
        <v>7</v>
      </c>
      <c r="J258" s="150">
        <v>8</v>
      </c>
      <c r="K258" s="150">
        <v>9</v>
      </c>
      <c r="L258" s="150">
        <v>10</v>
      </c>
      <c r="M258" s="150">
        <v>11</v>
      </c>
      <c r="N258" s="150">
        <v>12</v>
      </c>
      <c r="O258" s="150">
        <v>13</v>
      </c>
      <c r="P258" s="150">
        <v>14</v>
      </c>
      <c r="Q258" s="150">
        <v>15</v>
      </c>
      <c r="R258" s="150">
        <v>16</v>
      </c>
      <c r="S258" s="150">
        <v>17</v>
      </c>
      <c r="T258" s="150">
        <v>18</v>
      </c>
    </row>
    <row r="259" spans="2:20">
      <c r="B259" s="317" t="s">
        <v>260</v>
      </c>
      <c r="C259" s="317"/>
      <c r="D259" s="317"/>
      <c r="E259" s="317"/>
      <c r="F259" s="317"/>
      <c r="G259" s="317"/>
      <c r="H259" s="317"/>
      <c r="I259" s="317"/>
      <c r="J259" s="317"/>
      <c r="K259" s="317"/>
      <c r="L259" s="317"/>
      <c r="M259" s="317"/>
      <c r="N259" s="317"/>
      <c r="O259" s="317"/>
      <c r="P259" s="317"/>
      <c r="Q259" s="317"/>
      <c r="R259" s="317"/>
      <c r="S259" s="317"/>
      <c r="T259" s="317"/>
    </row>
    <row r="260" spans="2:20" ht="21" customHeight="1">
      <c r="B260" s="146">
        <v>71</v>
      </c>
      <c r="C260" s="316" t="s">
        <v>288</v>
      </c>
      <c r="D260" s="316"/>
      <c r="E260" s="146">
        <v>100</v>
      </c>
      <c r="F260" s="146">
        <v>1.07</v>
      </c>
      <c r="G260" s="146">
        <v>0.27</v>
      </c>
      <c r="H260" s="146">
        <v>5.87</v>
      </c>
      <c r="I260" s="146">
        <v>30.1</v>
      </c>
      <c r="J260" s="146">
        <v>7.0000000000000007E-2</v>
      </c>
      <c r="K260" s="146">
        <v>0.08</v>
      </c>
      <c r="L260" s="146">
        <v>24.3</v>
      </c>
      <c r="M260" s="146">
        <v>0.9</v>
      </c>
      <c r="N260" s="146">
        <v>4.7</v>
      </c>
      <c r="O260" s="146">
        <v>61</v>
      </c>
      <c r="P260" s="146">
        <v>75.900000000000006</v>
      </c>
      <c r="Q260" s="146">
        <v>0.7</v>
      </c>
      <c r="R260" s="146">
        <v>1.2999999999999999E-2</v>
      </c>
      <c r="S260" s="146">
        <v>25.5</v>
      </c>
      <c r="T260" s="146">
        <v>1</v>
      </c>
    </row>
    <row r="261" spans="2:20" ht="17.25" customHeight="1">
      <c r="B261" s="143" t="s">
        <v>327</v>
      </c>
      <c r="C261" s="326" t="s">
        <v>328</v>
      </c>
      <c r="D261" s="326"/>
      <c r="E261" s="146">
        <v>30</v>
      </c>
      <c r="F261" s="146">
        <v>0.15</v>
      </c>
      <c r="G261" s="146">
        <v>0</v>
      </c>
      <c r="H261" s="146">
        <v>17.850000000000001</v>
      </c>
      <c r="I261" s="146">
        <v>71.7</v>
      </c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</row>
    <row r="262" spans="2:20" s="154" customFormat="1" ht="30" customHeight="1">
      <c r="B262" s="153">
        <v>222</v>
      </c>
      <c r="C262" s="315" t="s">
        <v>110</v>
      </c>
      <c r="D262" s="315"/>
      <c r="E262" s="153">
        <v>170</v>
      </c>
      <c r="F262" s="153">
        <v>15.23</v>
      </c>
      <c r="G262" s="153">
        <v>17.5</v>
      </c>
      <c r="H262" s="153">
        <v>36.700000000000003</v>
      </c>
      <c r="I262" s="153">
        <v>355.9</v>
      </c>
      <c r="J262" s="153">
        <v>0.09</v>
      </c>
      <c r="K262" s="153">
        <v>0.3</v>
      </c>
      <c r="L262" s="153">
        <v>0.48</v>
      </c>
      <c r="M262" s="153">
        <v>0.22</v>
      </c>
      <c r="N262" s="153">
        <v>1.8</v>
      </c>
      <c r="O262" s="153">
        <v>143.69999999999999</v>
      </c>
      <c r="P262" s="153">
        <v>290.60000000000002</v>
      </c>
      <c r="Q262" s="153">
        <v>2.2000000000000002</v>
      </c>
      <c r="R262" s="153">
        <v>8.0000000000000002E-3</v>
      </c>
      <c r="S262" s="153">
        <v>48.51</v>
      </c>
      <c r="T262" s="153">
        <v>1.31</v>
      </c>
    </row>
    <row r="263" spans="2:20" ht="15.75" customHeight="1">
      <c r="B263" s="146">
        <v>376</v>
      </c>
      <c r="C263" s="316" t="s">
        <v>57</v>
      </c>
      <c r="D263" s="316"/>
      <c r="E263" s="146">
        <v>200</v>
      </c>
      <c r="F263" s="146">
        <v>0.2</v>
      </c>
      <c r="G263" s="146">
        <v>0.05</v>
      </c>
      <c r="H263" s="146">
        <v>15.01</v>
      </c>
      <c r="I263" s="146">
        <v>61</v>
      </c>
      <c r="J263" s="146">
        <v>0</v>
      </c>
      <c r="K263" s="146">
        <v>0.01</v>
      </c>
      <c r="L263" s="146">
        <v>9</v>
      </c>
      <c r="M263" s="146">
        <v>1E-4</v>
      </c>
      <c r="N263" s="146">
        <v>4.4999999999999998E-2</v>
      </c>
      <c r="O263" s="146">
        <v>5.25</v>
      </c>
      <c r="P263" s="146">
        <v>8.24</v>
      </c>
      <c r="Q263" s="146">
        <v>8.0000000000000002E-3</v>
      </c>
      <c r="R263" s="146">
        <v>0</v>
      </c>
      <c r="S263" s="146">
        <v>4.4000000000000004</v>
      </c>
      <c r="T263" s="146">
        <v>0.87</v>
      </c>
    </row>
    <row r="264" spans="2:20" ht="18" customHeight="1">
      <c r="B264" s="146" t="s">
        <v>270</v>
      </c>
      <c r="C264" s="316" t="s">
        <v>329</v>
      </c>
      <c r="D264" s="316"/>
      <c r="E264" s="146">
        <v>40</v>
      </c>
      <c r="F264" s="146">
        <v>2.67</v>
      </c>
      <c r="G264" s="146">
        <v>0.53</v>
      </c>
      <c r="H264" s="146">
        <v>13.73</v>
      </c>
      <c r="I264" s="146">
        <v>70.400000000000006</v>
      </c>
      <c r="J264" s="146">
        <v>0.13</v>
      </c>
      <c r="K264" s="146">
        <v>1.2999999999999999E-2</v>
      </c>
      <c r="L264" s="146">
        <v>0.1</v>
      </c>
      <c r="M264" s="146">
        <v>0</v>
      </c>
      <c r="N264" s="146">
        <v>0.93</v>
      </c>
      <c r="O264" s="146">
        <v>14</v>
      </c>
      <c r="P264" s="146">
        <v>63.2</v>
      </c>
      <c r="Q264" s="146">
        <v>1.2999999999999999E-2</v>
      </c>
      <c r="R264" s="146">
        <v>1.2999999999999999E-2</v>
      </c>
      <c r="S264" s="146">
        <v>18.8</v>
      </c>
      <c r="T264" s="146">
        <v>1.6</v>
      </c>
    </row>
    <row r="265" spans="2:20">
      <c r="B265" s="317" t="s">
        <v>264</v>
      </c>
      <c r="C265" s="317"/>
      <c r="D265" s="317"/>
      <c r="E265" s="147">
        <f>SUM(E260:E264)</f>
        <v>540</v>
      </c>
      <c r="F265" s="147">
        <f t="shared" ref="F265:T265" si="76">SUM(F260:F264)</f>
        <v>19.32</v>
      </c>
      <c r="G265" s="147">
        <f t="shared" si="76"/>
        <v>18.350000000000001</v>
      </c>
      <c r="H265" s="147">
        <f t="shared" si="76"/>
        <v>89.160000000000011</v>
      </c>
      <c r="I265" s="147">
        <f t="shared" si="76"/>
        <v>589.1</v>
      </c>
      <c r="J265" s="147">
        <f t="shared" si="76"/>
        <v>0.29000000000000004</v>
      </c>
      <c r="K265" s="147">
        <f t="shared" si="76"/>
        <v>0.40300000000000002</v>
      </c>
      <c r="L265" s="147">
        <f t="shared" si="76"/>
        <v>33.880000000000003</v>
      </c>
      <c r="M265" s="147">
        <f t="shared" si="76"/>
        <v>1.1201000000000001</v>
      </c>
      <c r="N265" s="147">
        <f t="shared" si="76"/>
        <v>7.4749999999999996</v>
      </c>
      <c r="O265" s="147">
        <f t="shared" si="76"/>
        <v>223.95</v>
      </c>
      <c r="P265" s="147">
        <f t="shared" si="76"/>
        <v>437.94</v>
      </c>
      <c r="Q265" s="147">
        <f t="shared" si="76"/>
        <v>2.9210000000000003</v>
      </c>
      <c r="R265" s="147">
        <f t="shared" si="76"/>
        <v>3.3999999999999996E-2</v>
      </c>
      <c r="S265" s="147">
        <f t="shared" si="76"/>
        <v>97.21</v>
      </c>
      <c r="T265" s="147">
        <f t="shared" si="76"/>
        <v>4.78</v>
      </c>
    </row>
    <row r="266" spans="2:20">
      <c r="B266" s="317" t="s">
        <v>265</v>
      </c>
      <c r="C266" s="317"/>
      <c r="D266" s="317"/>
      <c r="E266" s="317"/>
      <c r="F266" s="142">
        <f t="shared" ref="F266:T266" si="77">F265/F283</f>
        <v>0.25090909090909091</v>
      </c>
      <c r="G266" s="142">
        <f t="shared" si="77"/>
        <v>0.23227848101265824</v>
      </c>
      <c r="H266" s="142">
        <f t="shared" si="77"/>
        <v>0.26614925373134329</v>
      </c>
      <c r="I266" s="142">
        <f t="shared" si="77"/>
        <v>0.25068085106382981</v>
      </c>
      <c r="J266" s="142">
        <f t="shared" si="77"/>
        <v>0.2416666666666667</v>
      </c>
      <c r="K266" s="142">
        <f t="shared" si="77"/>
        <v>0.28785714285714287</v>
      </c>
      <c r="L266" s="142">
        <f t="shared" si="77"/>
        <v>0.56466666666666676</v>
      </c>
      <c r="M266" s="145">
        <f t="shared" si="77"/>
        <v>1.6001428571428573</v>
      </c>
      <c r="N266" s="142">
        <f t="shared" si="77"/>
        <v>0.74749999999999994</v>
      </c>
      <c r="O266" s="142">
        <f t="shared" si="77"/>
        <v>0.20359090909090907</v>
      </c>
      <c r="P266" s="142">
        <f t="shared" si="77"/>
        <v>0.39812727272727272</v>
      </c>
      <c r="Q266" s="142">
        <f t="shared" si="77"/>
        <v>0.29210000000000003</v>
      </c>
      <c r="R266" s="142">
        <f t="shared" si="77"/>
        <v>0.33999999999999991</v>
      </c>
      <c r="S266" s="142">
        <f t="shared" si="77"/>
        <v>0.38883999999999996</v>
      </c>
      <c r="T266" s="142">
        <f t="shared" si="77"/>
        <v>0.39833333333333337</v>
      </c>
    </row>
    <row r="267" spans="2:20">
      <c r="B267" s="317" t="s">
        <v>266</v>
      </c>
      <c r="C267" s="317"/>
      <c r="D267" s="317"/>
      <c r="E267" s="317"/>
      <c r="F267" s="317"/>
      <c r="G267" s="317"/>
      <c r="H267" s="317"/>
      <c r="I267" s="317"/>
      <c r="J267" s="317"/>
      <c r="K267" s="317"/>
      <c r="L267" s="317"/>
      <c r="M267" s="317"/>
      <c r="N267" s="317"/>
      <c r="O267" s="317"/>
      <c r="P267" s="317"/>
      <c r="Q267" s="317"/>
      <c r="R267" s="317"/>
      <c r="S267" s="317"/>
      <c r="T267" s="317"/>
    </row>
    <row r="268" spans="2:20" s="120" customFormat="1" ht="16.5" customHeight="1">
      <c r="B268" s="146" t="s">
        <v>346</v>
      </c>
      <c r="C268" s="316" t="s">
        <v>323</v>
      </c>
      <c r="D268" s="316"/>
      <c r="E268" s="146">
        <v>60</v>
      </c>
      <c r="F268" s="146">
        <v>0.76</v>
      </c>
      <c r="G268" s="146">
        <v>1.73</v>
      </c>
      <c r="H268" s="146">
        <v>4.26</v>
      </c>
      <c r="I268" s="146">
        <v>34.17</v>
      </c>
      <c r="J268" s="146">
        <v>0.03</v>
      </c>
      <c r="K268" s="146">
        <v>0</v>
      </c>
      <c r="L268" s="146">
        <v>2.41</v>
      </c>
      <c r="M268" s="146">
        <v>0.03</v>
      </c>
      <c r="N268" s="146"/>
      <c r="O268" s="146">
        <v>18.489999999999998</v>
      </c>
      <c r="P268" s="146">
        <v>31.36</v>
      </c>
      <c r="Q268" s="146"/>
      <c r="R268" s="146">
        <v>0</v>
      </c>
      <c r="S268" s="146">
        <v>20.5</v>
      </c>
      <c r="T268" s="146">
        <v>0.04</v>
      </c>
    </row>
    <row r="269" spans="2:20" ht="19.5" customHeight="1">
      <c r="B269" s="146">
        <v>71</v>
      </c>
      <c r="C269" s="316" t="s">
        <v>224</v>
      </c>
      <c r="D269" s="316"/>
      <c r="E269" s="146">
        <v>60</v>
      </c>
      <c r="F269" s="146">
        <v>0.6</v>
      </c>
      <c r="G269" s="146">
        <v>2.7</v>
      </c>
      <c r="H269" s="146">
        <v>8.6999999999999993</v>
      </c>
      <c r="I269" s="146">
        <v>60</v>
      </c>
      <c r="J269" s="146">
        <v>0.01</v>
      </c>
      <c r="K269" s="146">
        <v>0.02</v>
      </c>
      <c r="L269" s="146">
        <v>2.2999999999999998</v>
      </c>
      <c r="M269" s="146">
        <v>0.01</v>
      </c>
      <c r="N269" s="146"/>
      <c r="O269" s="146">
        <v>12.29</v>
      </c>
      <c r="P269" s="146">
        <v>0</v>
      </c>
      <c r="Q269" s="146"/>
      <c r="R269" s="146">
        <v>0</v>
      </c>
      <c r="S269" s="146">
        <v>7.02</v>
      </c>
      <c r="T269" s="146">
        <v>0.32</v>
      </c>
    </row>
    <row r="270" spans="2:20" ht="18.75" customHeight="1">
      <c r="B270" s="146" t="s">
        <v>344</v>
      </c>
      <c r="C270" s="316" t="s">
        <v>222</v>
      </c>
      <c r="D270" s="316"/>
      <c r="E270" s="146">
        <v>200</v>
      </c>
      <c r="F270" s="146">
        <v>2.1</v>
      </c>
      <c r="G270" s="146">
        <v>2.1</v>
      </c>
      <c r="H270" s="146">
        <v>15.5</v>
      </c>
      <c r="I270" s="146">
        <v>90</v>
      </c>
      <c r="J270" s="146">
        <v>0.08</v>
      </c>
      <c r="K270" s="146">
        <v>0.04</v>
      </c>
      <c r="L270" s="146">
        <v>5.6</v>
      </c>
      <c r="M270" s="146">
        <v>0.08</v>
      </c>
      <c r="N270" s="146"/>
      <c r="O270" s="146">
        <v>12.64</v>
      </c>
      <c r="P270" s="146">
        <v>0</v>
      </c>
      <c r="Q270" s="146"/>
      <c r="R270" s="146">
        <v>0</v>
      </c>
      <c r="S270" s="146">
        <v>19.2</v>
      </c>
      <c r="T270" s="146">
        <v>0.72</v>
      </c>
    </row>
    <row r="271" spans="2:20" ht="18.75" customHeight="1">
      <c r="B271" s="146">
        <v>259</v>
      </c>
      <c r="C271" s="316" t="s">
        <v>315</v>
      </c>
      <c r="D271" s="316"/>
      <c r="E271" s="146">
        <v>240</v>
      </c>
      <c r="F271" s="146">
        <v>22.22</v>
      </c>
      <c r="G271" s="146">
        <v>24.82</v>
      </c>
      <c r="H271" s="146">
        <v>22.73</v>
      </c>
      <c r="I271" s="146">
        <v>404.57</v>
      </c>
      <c r="J271" s="146">
        <v>0.17</v>
      </c>
      <c r="K271" s="146">
        <v>0.24</v>
      </c>
      <c r="L271" s="146">
        <v>9.26</v>
      </c>
      <c r="M271" s="146">
        <v>0.17</v>
      </c>
      <c r="N271" s="146"/>
      <c r="O271" s="146">
        <v>41.83</v>
      </c>
      <c r="P271" s="146">
        <v>282.17</v>
      </c>
      <c r="Q271" s="146"/>
      <c r="R271" s="146">
        <v>0</v>
      </c>
      <c r="S271" s="146">
        <v>58.25</v>
      </c>
      <c r="T271" s="146">
        <v>5.3</v>
      </c>
    </row>
    <row r="272" spans="2:20">
      <c r="B272" s="146">
        <v>377</v>
      </c>
      <c r="C272" s="316" t="s">
        <v>70</v>
      </c>
      <c r="D272" s="316"/>
      <c r="E272" s="146" t="s">
        <v>269</v>
      </c>
      <c r="F272" s="146">
        <v>0.26</v>
      </c>
      <c r="G272" s="146">
        <v>0.06</v>
      </c>
      <c r="H272" s="146">
        <v>15.22</v>
      </c>
      <c r="I272" s="146">
        <v>62.5</v>
      </c>
      <c r="J272" s="146"/>
      <c r="K272" s="146">
        <v>0.01</v>
      </c>
      <c r="L272" s="146">
        <v>2.9</v>
      </c>
      <c r="M272" s="146">
        <v>0</v>
      </c>
      <c r="N272" s="146">
        <v>0.06</v>
      </c>
      <c r="O272" s="146">
        <v>8.0500000000000007</v>
      </c>
      <c r="P272" s="146">
        <v>9.7799999999999994</v>
      </c>
      <c r="Q272" s="146">
        <v>1.7000000000000001E-2</v>
      </c>
      <c r="R272" s="146">
        <v>0</v>
      </c>
      <c r="S272" s="146">
        <v>5.24</v>
      </c>
      <c r="T272" s="146">
        <v>0.87</v>
      </c>
    </row>
    <row r="273" spans="2:20" ht="18.75" customHeight="1">
      <c r="B273" s="146" t="s">
        <v>270</v>
      </c>
      <c r="C273" s="316" t="s">
        <v>135</v>
      </c>
      <c r="D273" s="316"/>
      <c r="E273" s="146">
        <v>40</v>
      </c>
      <c r="F273" s="146">
        <v>2.64</v>
      </c>
      <c r="G273" s="146">
        <v>0.48</v>
      </c>
      <c r="H273" s="146">
        <v>13.68</v>
      </c>
      <c r="I273" s="146">
        <v>69.599999999999994</v>
      </c>
      <c r="J273" s="146">
        <v>0.08</v>
      </c>
      <c r="K273" s="146">
        <v>0.04</v>
      </c>
      <c r="L273" s="146">
        <v>0</v>
      </c>
      <c r="M273" s="146">
        <v>0</v>
      </c>
      <c r="N273" s="146">
        <v>2.4</v>
      </c>
      <c r="O273" s="146">
        <v>14</v>
      </c>
      <c r="P273" s="146">
        <v>63.2</v>
      </c>
      <c r="Q273" s="146">
        <v>1.2</v>
      </c>
      <c r="R273" s="146">
        <v>1E-3</v>
      </c>
      <c r="S273" s="146">
        <v>9.4</v>
      </c>
      <c r="T273" s="146">
        <v>0.78</v>
      </c>
    </row>
    <row r="274" spans="2:20">
      <c r="B274" s="146" t="s">
        <v>270</v>
      </c>
      <c r="C274" s="316" t="s">
        <v>35</v>
      </c>
      <c r="D274" s="316"/>
      <c r="E274" s="146">
        <v>30</v>
      </c>
      <c r="F274" s="146">
        <v>1.52</v>
      </c>
      <c r="G274" s="146">
        <v>0.16</v>
      </c>
      <c r="H274" s="146">
        <v>9.84</v>
      </c>
      <c r="I274" s="146">
        <v>46.9</v>
      </c>
      <c r="J274" s="146">
        <v>0.02</v>
      </c>
      <c r="K274" s="146">
        <v>0.01</v>
      </c>
      <c r="L274" s="146">
        <v>0.44</v>
      </c>
      <c r="M274" s="146">
        <v>0</v>
      </c>
      <c r="N274" s="146">
        <v>0.7</v>
      </c>
      <c r="O274" s="146">
        <v>4</v>
      </c>
      <c r="P274" s="146">
        <v>13</v>
      </c>
      <c r="Q274" s="146">
        <v>8.0000000000000002E-3</v>
      </c>
      <c r="R274" s="146">
        <v>1E-3</v>
      </c>
      <c r="S274" s="146">
        <v>0</v>
      </c>
      <c r="T274" s="146">
        <v>0.22</v>
      </c>
    </row>
    <row r="275" spans="2:20" ht="23.25" customHeight="1">
      <c r="B275" s="317" t="s">
        <v>271</v>
      </c>
      <c r="C275" s="317"/>
      <c r="D275" s="317"/>
      <c r="E275" s="147">
        <f>E269+E270+E271+E273+E274+204</f>
        <v>774</v>
      </c>
      <c r="F275" s="147">
        <f>F269+F270+F271+F272+F273+F274</f>
        <v>29.34</v>
      </c>
      <c r="G275" s="147">
        <f t="shared" ref="G275:T275" si="78">G269+G270+G271+G272+G273+G274</f>
        <v>30.32</v>
      </c>
      <c r="H275" s="147">
        <f t="shared" si="78"/>
        <v>85.67</v>
      </c>
      <c r="I275" s="147">
        <f t="shared" si="78"/>
        <v>733.56999999999994</v>
      </c>
      <c r="J275" s="147">
        <f t="shared" si="78"/>
        <v>0.36000000000000004</v>
      </c>
      <c r="K275" s="147">
        <f t="shared" si="78"/>
        <v>0.36</v>
      </c>
      <c r="L275" s="147">
        <f t="shared" si="78"/>
        <v>20.5</v>
      </c>
      <c r="M275" s="147">
        <f t="shared" si="78"/>
        <v>0.26</v>
      </c>
      <c r="N275" s="147">
        <f t="shared" si="78"/>
        <v>3.16</v>
      </c>
      <c r="O275" s="147">
        <f t="shared" si="78"/>
        <v>92.809999999999988</v>
      </c>
      <c r="P275" s="147">
        <f t="shared" si="78"/>
        <v>368.15</v>
      </c>
      <c r="Q275" s="147">
        <f t="shared" si="78"/>
        <v>1.2249999999999999</v>
      </c>
      <c r="R275" s="147">
        <f t="shared" si="78"/>
        <v>2E-3</v>
      </c>
      <c r="S275" s="147">
        <f t="shared" si="78"/>
        <v>99.11</v>
      </c>
      <c r="T275" s="147">
        <f t="shared" si="78"/>
        <v>8.2100000000000009</v>
      </c>
    </row>
    <row r="276" spans="2:20">
      <c r="B276" s="317" t="s">
        <v>265</v>
      </c>
      <c r="C276" s="317"/>
      <c r="D276" s="317"/>
      <c r="E276" s="317"/>
      <c r="F276" s="142">
        <f t="shared" ref="F276:T276" si="79">F275/F283</f>
        <v>0.38103896103896101</v>
      </c>
      <c r="G276" s="142">
        <f t="shared" si="79"/>
        <v>0.3837974683544304</v>
      </c>
      <c r="H276" s="142">
        <f t="shared" si="79"/>
        <v>0.2557313432835821</v>
      </c>
      <c r="I276" s="142">
        <f t="shared" si="79"/>
        <v>0.3121574468085106</v>
      </c>
      <c r="J276" s="142">
        <f t="shared" si="79"/>
        <v>0.30000000000000004</v>
      </c>
      <c r="K276" s="142">
        <f t="shared" si="79"/>
        <v>0.25714285714285717</v>
      </c>
      <c r="L276" s="142">
        <f t="shared" si="79"/>
        <v>0.34166666666666667</v>
      </c>
      <c r="M276" s="142">
        <f t="shared" si="79"/>
        <v>0.37142857142857144</v>
      </c>
      <c r="N276" s="142">
        <f t="shared" si="79"/>
        <v>0.316</v>
      </c>
      <c r="O276" s="142">
        <f t="shared" si="79"/>
        <v>8.4372727272727266E-2</v>
      </c>
      <c r="P276" s="142">
        <f t="shared" si="79"/>
        <v>0.33468181818181814</v>
      </c>
      <c r="Q276" s="142">
        <f t="shared" si="79"/>
        <v>0.12249999999999998</v>
      </c>
      <c r="R276" s="142">
        <f t="shared" si="79"/>
        <v>0.02</v>
      </c>
      <c r="S276" s="142">
        <f t="shared" si="79"/>
        <v>0.39644000000000001</v>
      </c>
      <c r="T276" s="142">
        <f t="shared" si="79"/>
        <v>0.6841666666666667</v>
      </c>
    </row>
    <row r="277" spans="2:20">
      <c r="B277" s="317" t="s">
        <v>272</v>
      </c>
      <c r="C277" s="317"/>
      <c r="D277" s="317"/>
      <c r="E277" s="317"/>
      <c r="F277" s="317"/>
      <c r="G277" s="317"/>
      <c r="H277" s="317"/>
      <c r="I277" s="317"/>
      <c r="J277" s="317"/>
      <c r="K277" s="317"/>
      <c r="L277" s="317"/>
      <c r="M277" s="317"/>
      <c r="N277" s="317"/>
      <c r="O277" s="317"/>
      <c r="P277" s="317"/>
      <c r="Q277" s="317"/>
      <c r="R277" s="317"/>
      <c r="S277" s="317"/>
      <c r="T277" s="317"/>
    </row>
    <row r="278" spans="2:20" ht="21" customHeight="1">
      <c r="B278" s="153" t="s">
        <v>270</v>
      </c>
      <c r="C278" s="315" t="s">
        <v>403</v>
      </c>
      <c r="D278" s="315"/>
      <c r="E278" s="153">
        <v>100</v>
      </c>
      <c r="F278" s="153">
        <v>13.08</v>
      </c>
      <c r="G278" s="153">
        <v>6.06</v>
      </c>
      <c r="H278" s="153">
        <v>49.58</v>
      </c>
      <c r="I278" s="153">
        <v>306</v>
      </c>
      <c r="J278" s="153">
        <v>0.14000000000000001</v>
      </c>
      <c r="K278" s="153">
        <v>0.18</v>
      </c>
      <c r="L278" s="153">
        <v>0.18</v>
      </c>
      <c r="M278" s="153">
        <v>0.14000000000000001</v>
      </c>
      <c r="N278" s="153"/>
      <c r="O278" s="153">
        <v>75.8</v>
      </c>
      <c r="P278" s="153">
        <v>140</v>
      </c>
      <c r="Q278" s="153"/>
      <c r="R278" s="153">
        <v>0</v>
      </c>
      <c r="S278" s="153">
        <v>34.6</v>
      </c>
      <c r="T278" s="153">
        <v>1.52</v>
      </c>
    </row>
    <row r="279" spans="2:20" ht="25.5" customHeight="1">
      <c r="B279" s="153">
        <v>349</v>
      </c>
      <c r="C279" s="315" t="s">
        <v>287</v>
      </c>
      <c r="D279" s="315"/>
      <c r="E279" s="153">
        <v>200</v>
      </c>
      <c r="F279" s="153">
        <v>0.22</v>
      </c>
      <c r="G279" s="153">
        <v>0</v>
      </c>
      <c r="H279" s="153">
        <v>24.42</v>
      </c>
      <c r="I279" s="153">
        <v>98.56</v>
      </c>
      <c r="J279" s="153"/>
      <c r="K279" s="153"/>
      <c r="L279" s="153">
        <v>0.2</v>
      </c>
      <c r="M279" s="153"/>
      <c r="N279" s="153"/>
      <c r="O279" s="153">
        <v>22.6</v>
      </c>
      <c r="P279" s="153">
        <v>7.7</v>
      </c>
      <c r="Q279" s="153">
        <v>0</v>
      </c>
      <c r="R279" s="153">
        <v>0</v>
      </c>
      <c r="S279" s="153">
        <v>3</v>
      </c>
      <c r="T279" s="153">
        <v>0.66</v>
      </c>
    </row>
    <row r="280" spans="2:20" ht="15" customHeight="1">
      <c r="B280" s="312" t="s">
        <v>274</v>
      </c>
      <c r="C280" s="313"/>
      <c r="D280" s="314"/>
      <c r="E280" s="164">
        <f>SUM(E278:E279)</f>
        <v>300</v>
      </c>
      <c r="F280" s="164">
        <f t="shared" ref="F280:T280" si="80">SUM(F278:F279)</f>
        <v>13.3</v>
      </c>
      <c r="G280" s="164">
        <f t="shared" si="80"/>
        <v>6.06</v>
      </c>
      <c r="H280" s="164">
        <f t="shared" si="80"/>
        <v>74</v>
      </c>
      <c r="I280" s="164">
        <f t="shared" si="80"/>
        <v>404.56</v>
      </c>
      <c r="J280" s="164">
        <f t="shared" si="80"/>
        <v>0.14000000000000001</v>
      </c>
      <c r="K280" s="164">
        <f t="shared" si="80"/>
        <v>0.18</v>
      </c>
      <c r="L280" s="164">
        <f t="shared" si="80"/>
        <v>0.38</v>
      </c>
      <c r="M280" s="164">
        <f t="shared" si="80"/>
        <v>0.14000000000000001</v>
      </c>
      <c r="N280" s="164">
        <f t="shared" si="80"/>
        <v>0</v>
      </c>
      <c r="O280" s="164">
        <f t="shared" si="80"/>
        <v>98.4</v>
      </c>
      <c r="P280" s="164">
        <f t="shared" si="80"/>
        <v>147.69999999999999</v>
      </c>
      <c r="Q280" s="164">
        <f t="shared" si="80"/>
        <v>0</v>
      </c>
      <c r="R280" s="164">
        <f t="shared" si="80"/>
        <v>0</v>
      </c>
      <c r="S280" s="164">
        <f t="shared" si="80"/>
        <v>37.6</v>
      </c>
      <c r="T280" s="164">
        <f t="shared" si="80"/>
        <v>2.1800000000000002</v>
      </c>
    </row>
    <row r="281" spans="2:20">
      <c r="B281" s="317" t="s">
        <v>265</v>
      </c>
      <c r="C281" s="317"/>
      <c r="D281" s="317"/>
      <c r="E281" s="317"/>
      <c r="F281" s="142">
        <f>F280/F283</f>
        <v>0.17272727272727273</v>
      </c>
      <c r="G281" s="142">
        <f t="shared" ref="G281:T281" si="81">G280/G283</f>
        <v>7.6708860759493666E-2</v>
      </c>
      <c r="H281" s="142">
        <f t="shared" si="81"/>
        <v>0.22089552238805971</v>
      </c>
      <c r="I281" s="142">
        <f t="shared" si="81"/>
        <v>0.1721531914893617</v>
      </c>
      <c r="J281" s="142">
        <f t="shared" si="81"/>
        <v>0.11666666666666668</v>
      </c>
      <c r="K281" s="142">
        <f t="shared" si="81"/>
        <v>0.12857142857142859</v>
      </c>
      <c r="L281" s="142">
        <f t="shared" si="81"/>
        <v>6.3333333333333332E-3</v>
      </c>
      <c r="M281" s="142">
        <f t="shared" si="81"/>
        <v>0.20000000000000004</v>
      </c>
      <c r="N281" s="142">
        <f t="shared" si="81"/>
        <v>0</v>
      </c>
      <c r="O281" s="142">
        <f t="shared" si="81"/>
        <v>8.9454545454545453E-2</v>
      </c>
      <c r="P281" s="142">
        <f t="shared" si="81"/>
        <v>0.13427272727272727</v>
      </c>
      <c r="Q281" s="142">
        <f t="shared" si="81"/>
        <v>0</v>
      </c>
      <c r="R281" s="142">
        <f t="shared" si="81"/>
        <v>0</v>
      </c>
      <c r="S281" s="142">
        <f t="shared" si="81"/>
        <v>0.15040000000000001</v>
      </c>
      <c r="T281" s="142">
        <f t="shared" si="81"/>
        <v>0.18166666666666667</v>
      </c>
    </row>
    <row r="282" spans="2:20">
      <c r="B282" s="317" t="s">
        <v>275</v>
      </c>
      <c r="C282" s="317"/>
      <c r="D282" s="317"/>
      <c r="E282" s="317"/>
      <c r="F282" s="147">
        <f>F280+F275+F265</f>
        <v>61.96</v>
      </c>
      <c r="G282" s="147">
        <f t="shared" ref="G282:T282" si="82">G280+G275+G265</f>
        <v>54.730000000000004</v>
      </c>
      <c r="H282" s="147">
        <f t="shared" si="82"/>
        <v>248.83000000000004</v>
      </c>
      <c r="I282" s="147">
        <f t="shared" si="82"/>
        <v>1727.23</v>
      </c>
      <c r="J282" s="147">
        <f t="shared" si="82"/>
        <v>0.79</v>
      </c>
      <c r="K282" s="147">
        <f t="shared" si="82"/>
        <v>0.94300000000000006</v>
      </c>
      <c r="L282" s="147">
        <f t="shared" si="82"/>
        <v>54.760000000000005</v>
      </c>
      <c r="M282" s="147">
        <f t="shared" si="82"/>
        <v>1.5201000000000002</v>
      </c>
      <c r="N282" s="147">
        <f t="shared" si="82"/>
        <v>10.635</v>
      </c>
      <c r="O282" s="147">
        <f t="shared" si="82"/>
        <v>415.15999999999997</v>
      </c>
      <c r="P282" s="147">
        <f t="shared" si="82"/>
        <v>953.79</v>
      </c>
      <c r="Q282" s="147">
        <f t="shared" si="82"/>
        <v>4.1459999999999999</v>
      </c>
      <c r="R282" s="147">
        <f t="shared" si="82"/>
        <v>3.5999999999999997E-2</v>
      </c>
      <c r="S282" s="147">
        <f t="shared" si="82"/>
        <v>233.92000000000002</v>
      </c>
      <c r="T282" s="147">
        <f t="shared" si="82"/>
        <v>15.170000000000002</v>
      </c>
    </row>
    <row r="283" spans="2:20">
      <c r="B283" s="317" t="s">
        <v>276</v>
      </c>
      <c r="C283" s="317"/>
      <c r="D283" s="317"/>
      <c r="E283" s="317"/>
      <c r="F283" s="146">
        <v>77</v>
      </c>
      <c r="G283" s="146">
        <v>79</v>
      </c>
      <c r="H283" s="146">
        <v>335</v>
      </c>
      <c r="I283" s="146">
        <v>2350</v>
      </c>
      <c r="J283" s="146">
        <v>1.2</v>
      </c>
      <c r="K283" s="146">
        <v>1.4</v>
      </c>
      <c r="L283" s="146">
        <v>60</v>
      </c>
      <c r="M283" s="146">
        <v>0.7</v>
      </c>
      <c r="N283" s="146">
        <v>10</v>
      </c>
      <c r="O283" s="146">
        <v>1100</v>
      </c>
      <c r="P283" s="146">
        <v>1100</v>
      </c>
      <c r="Q283" s="146">
        <v>10</v>
      </c>
      <c r="R283" s="146">
        <v>0.1</v>
      </c>
      <c r="S283" s="146">
        <v>250</v>
      </c>
      <c r="T283" s="146">
        <v>12</v>
      </c>
    </row>
    <row r="284" spans="2:20">
      <c r="B284" s="317" t="s">
        <v>265</v>
      </c>
      <c r="C284" s="317"/>
      <c r="D284" s="317"/>
      <c r="E284" s="317"/>
      <c r="F284" s="142">
        <f>F282/F283</f>
        <v>0.80467532467532465</v>
      </c>
      <c r="G284" s="142">
        <f t="shared" ref="G284:T284" si="83">G282/G283</f>
        <v>0.69278481012658233</v>
      </c>
      <c r="H284" s="142">
        <f t="shared" si="83"/>
        <v>0.74277611940298516</v>
      </c>
      <c r="I284" s="142">
        <f t="shared" si="83"/>
        <v>0.73499148936170211</v>
      </c>
      <c r="J284" s="142">
        <f t="shared" si="83"/>
        <v>0.65833333333333344</v>
      </c>
      <c r="K284" s="142">
        <f t="shared" si="83"/>
        <v>0.67357142857142871</v>
      </c>
      <c r="L284" s="142">
        <f t="shared" si="83"/>
        <v>0.91266666666666674</v>
      </c>
      <c r="M284" s="142">
        <f t="shared" si="83"/>
        <v>2.1715714285714292</v>
      </c>
      <c r="N284" s="142">
        <f t="shared" si="83"/>
        <v>1.0634999999999999</v>
      </c>
      <c r="O284" s="142">
        <f t="shared" si="83"/>
        <v>0.37741818181818176</v>
      </c>
      <c r="P284" s="142">
        <f t="shared" si="83"/>
        <v>0.86708181818181818</v>
      </c>
      <c r="Q284" s="142">
        <f t="shared" si="83"/>
        <v>0.41459999999999997</v>
      </c>
      <c r="R284" s="142">
        <f t="shared" si="83"/>
        <v>0.35999999999999993</v>
      </c>
      <c r="S284" s="142">
        <f t="shared" si="83"/>
        <v>0.93568000000000007</v>
      </c>
      <c r="T284" s="142">
        <f t="shared" si="83"/>
        <v>1.2641666666666669</v>
      </c>
    </row>
    <row r="285" spans="2:20" ht="28.5" customHeight="1">
      <c r="B285" s="319" t="s">
        <v>289</v>
      </c>
      <c r="C285" s="319"/>
      <c r="D285" s="319"/>
      <c r="E285" s="319"/>
      <c r="F285" s="319"/>
      <c r="G285" s="319"/>
      <c r="H285" s="319"/>
      <c r="I285" s="319"/>
      <c r="J285" s="146"/>
      <c r="K285" s="146"/>
      <c r="L285" s="146"/>
      <c r="M285" s="319" t="s">
        <v>229</v>
      </c>
      <c r="N285" s="319"/>
      <c r="O285" s="319"/>
      <c r="P285" s="319"/>
      <c r="Q285" s="319"/>
      <c r="R285" s="319"/>
      <c r="S285" s="319"/>
      <c r="T285" s="319"/>
    </row>
    <row r="286" spans="2:20">
      <c r="B286" s="146"/>
      <c r="C286" s="146"/>
      <c r="D286" s="147"/>
      <c r="E286" s="147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</row>
    <row r="287" spans="2:20">
      <c r="B287" s="317" t="s">
        <v>314</v>
      </c>
      <c r="C287" s="317"/>
      <c r="D287" s="317"/>
      <c r="E287" s="317"/>
      <c r="F287" s="317"/>
      <c r="G287" s="317"/>
      <c r="H287" s="317"/>
      <c r="I287" s="317"/>
      <c r="J287" s="317"/>
      <c r="K287" s="317"/>
      <c r="L287" s="317"/>
      <c r="M287" s="317"/>
      <c r="N287" s="317"/>
      <c r="O287" s="317"/>
      <c r="P287" s="317"/>
      <c r="Q287" s="317"/>
      <c r="R287" s="317"/>
      <c r="S287" s="317"/>
      <c r="T287" s="317"/>
    </row>
    <row r="288" spans="2:20">
      <c r="B288" s="317" t="s">
        <v>231</v>
      </c>
      <c r="C288" s="317"/>
      <c r="D288" s="146"/>
      <c r="E288" s="146"/>
      <c r="F288" s="146"/>
      <c r="G288" s="319" t="s">
        <v>298</v>
      </c>
      <c r="H288" s="319"/>
      <c r="I288" s="319"/>
      <c r="J288" s="146"/>
      <c r="K288" s="146"/>
      <c r="L288" s="317" t="s">
        <v>233</v>
      </c>
      <c r="M288" s="317"/>
      <c r="N288" s="319" t="s">
        <v>234</v>
      </c>
      <c r="O288" s="319"/>
      <c r="P288" s="319"/>
      <c r="Q288" s="319"/>
      <c r="R288" s="146"/>
      <c r="S288" s="146"/>
      <c r="T288" s="146"/>
    </row>
    <row r="289" spans="2:20">
      <c r="B289" s="146"/>
      <c r="C289" s="146"/>
      <c r="D289" s="146"/>
      <c r="E289" s="317" t="s">
        <v>235</v>
      </c>
      <c r="F289" s="317"/>
      <c r="G289" s="146">
        <v>2</v>
      </c>
      <c r="H289" s="146"/>
      <c r="I289" s="146"/>
      <c r="J289" s="146"/>
      <c r="K289" s="146"/>
      <c r="L289" s="317" t="s">
        <v>236</v>
      </c>
      <c r="M289" s="317"/>
      <c r="N289" s="319" t="s">
        <v>237</v>
      </c>
      <c r="O289" s="319"/>
      <c r="P289" s="319"/>
      <c r="Q289" s="319"/>
      <c r="R289" s="319"/>
      <c r="S289" s="319"/>
      <c r="T289" s="319"/>
    </row>
    <row r="290" spans="2:20">
      <c r="B290" s="149" t="s">
        <v>279</v>
      </c>
      <c r="C290" s="321" t="s">
        <v>239</v>
      </c>
      <c r="D290" s="321"/>
      <c r="E290" s="321" t="s">
        <v>240</v>
      </c>
      <c r="F290" s="321" t="s">
        <v>241</v>
      </c>
      <c r="G290" s="321"/>
      <c r="H290" s="321"/>
      <c r="I290" s="149" t="s">
        <v>242</v>
      </c>
      <c r="J290" s="321" t="s">
        <v>244</v>
      </c>
      <c r="K290" s="321"/>
      <c r="L290" s="321"/>
      <c r="M290" s="321"/>
      <c r="N290" s="321"/>
      <c r="O290" s="321" t="s">
        <v>245</v>
      </c>
      <c r="P290" s="321"/>
      <c r="Q290" s="321"/>
      <c r="R290" s="321"/>
      <c r="S290" s="321"/>
      <c r="T290" s="321"/>
    </row>
    <row r="291" spans="2:20" ht="51">
      <c r="B291" s="149" t="s">
        <v>280</v>
      </c>
      <c r="C291" s="321"/>
      <c r="D291" s="321"/>
      <c r="E291" s="321"/>
      <c r="F291" s="149" t="s">
        <v>246</v>
      </c>
      <c r="G291" s="149" t="s">
        <v>247</v>
      </c>
      <c r="H291" s="149" t="s">
        <v>248</v>
      </c>
      <c r="I291" s="149" t="s">
        <v>243</v>
      </c>
      <c r="J291" s="149" t="s">
        <v>249</v>
      </c>
      <c r="K291" s="149" t="s">
        <v>250</v>
      </c>
      <c r="L291" s="149" t="s">
        <v>251</v>
      </c>
      <c r="M291" s="149" t="s">
        <v>252</v>
      </c>
      <c r="N291" s="149" t="s">
        <v>253</v>
      </c>
      <c r="O291" s="149" t="s">
        <v>254</v>
      </c>
      <c r="P291" s="149" t="s">
        <v>255</v>
      </c>
      <c r="Q291" s="149" t="s">
        <v>256</v>
      </c>
      <c r="R291" s="149" t="s">
        <v>257</v>
      </c>
      <c r="S291" s="149" t="s">
        <v>258</v>
      </c>
      <c r="T291" s="149" t="s">
        <v>259</v>
      </c>
    </row>
    <row r="292" spans="2:20">
      <c r="B292" s="150">
        <v>1</v>
      </c>
      <c r="C292" s="318">
        <v>2</v>
      </c>
      <c r="D292" s="318"/>
      <c r="E292" s="150">
        <v>3</v>
      </c>
      <c r="F292" s="150">
        <v>4</v>
      </c>
      <c r="G292" s="150">
        <v>5</v>
      </c>
      <c r="H292" s="150">
        <v>6</v>
      </c>
      <c r="I292" s="150">
        <v>7</v>
      </c>
      <c r="J292" s="150">
        <v>8</v>
      </c>
      <c r="K292" s="150">
        <v>9</v>
      </c>
      <c r="L292" s="150">
        <v>10</v>
      </c>
      <c r="M292" s="150">
        <v>11</v>
      </c>
      <c r="N292" s="150">
        <v>12</v>
      </c>
      <c r="O292" s="150">
        <v>13</v>
      </c>
      <c r="P292" s="150">
        <v>14</v>
      </c>
      <c r="Q292" s="150">
        <v>15</v>
      </c>
      <c r="R292" s="150">
        <v>16</v>
      </c>
      <c r="S292" s="150">
        <v>17</v>
      </c>
      <c r="T292" s="150">
        <v>18</v>
      </c>
    </row>
    <row r="293" spans="2:20">
      <c r="B293" s="317" t="s">
        <v>281</v>
      </c>
      <c r="C293" s="317"/>
      <c r="D293" s="317"/>
      <c r="E293" s="317"/>
      <c r="F293" s="317"/>
      <c r="G293" s="317"/>
      <c r="H293" s="317"/>
      <c r="I293" s="317"/>
      <c r="J293" s="317"/>
      <c r="K293" s="317"/>
      <c r="L293" s="317"/>
      <c r="M293" s="317"/>
      <c r="N293" s="317"/>
      <c r="O293" s="317"/>
      <c r="P293" s="317"/>
      <c r="Q293" s="317"/>
      <c r="R293" s="317"/>
      <c r="S293" s="317"/>
      <c r="T293" s="317"/>
    </row>
    <row r="294" spans="2:20" s="154" customFormat="1" ht="27.75" customHeight="1">
      <c r="B294" s="153" t="s">
        <v>331</v>
      </c>
      <c r="C294" s="329" t="s">
        <v>330</v>
      </c>
      <c r="D294" s="330"/>
      <c r="E294" s="153">
        <v>30</v>
      </c>
      <c r="F294" s="153">
        <v>0.56999999999999995</v>
      </c>
      <c r="G294" s="153">
        <v>2.67</v>
      </c>
      <c r="H294" s="153">
        <v>2.31</v>
      </c>
      <c r="I294" s="163">
        <v>35.700000000000003</v>
      </c>
      <c r="J294" s="153">
        <v>0.01</v>
      </c>
      <c r="K294" s="153">
        <v>0</v>
      </c>
      <c r="L294" s="153">
        <v>2.1</v>
      </c>
      <c r="M294" s="153">
        <v>0.01</v>
      </c>
      <c r="N294" s="153"/>
      <c r="O294" s="153">
        <v>12.3</v>
      </c>
      <c r="P294" s="153">
        <v>11.1</v>
      </c>
      <c r="Q294" s="153"/>
      <c r="R294" s="153">
        <v>0</v>
      </c>
      <c r="S294" s="153">
        <v>4.5</v>
      </c>
      <c r="T294" s="153">
        <v>0.21</v>
      </c>
    </row>
    <row r="295" spans="2:20" ht="27.75" customHeight="1">
      <c r="B295" s="155">
        <v>71</v>
      </c>
      <c r="C295" s="315" t="s">
        <v>282</v>
      </c>
      <c r="D295" s="315"/>
      <c r="E295" s="155">
        <v>40</v>
      </c>
      <c r="F295" s="155">
        <v>0.33</v>
      </c>
      <c r="G295" s="155">
        <v>0.04</v>
      </c>
      <c r="H295" s="155">
        <v>1.1299999999999999</v>
      </c>
      <c r="I295" s="155">
        <v>6.23</v>
      </c>
      <c r="J295" s="155">
        <v>8.9999999999999993E-3</v>
      </c>
      <c r="K295" s="155">
        <v>0.01</v>
      </c>
      <c r="L295" s="155">
        <v>3</v>
      </c>
      <c r="M295" s="155">
        <v>3.0000000000000001E-3</v>
      </c>
      <c r="N295" s="155">
        <v>0.03</v>
      </c>
      <c r="O295" s="155">
        <v>6.9</v>
      </c>
      <c r="P295" s="155">
        <v>12.6</v>
      </c>
      <c r="Q295" s="155">
        <v>6.4000000000000001E-2</v>
      </c>
      <c r="R295" s="155">
        <v>1E-3</v>
      </c>
      <c r="S295" s="155">
        <v>4.2</v>
      </c>
      <c r="T295" s="155">
        <v>0.18</v>
      </c>
    </row>
    <row r="296" spans="2:20" s="154" customFormat="1" ht="25.5" customHeight="1">
      <c r="B296" s="153">
        <v>279</v>
      </c>
      <c r="C296" s="315" t="s">
        <v>410</v>
      </c>
      <c r="D296" s="315"/>
      <c r="E296" s="153" t="s">
        <v>116</v>
      </c>
      <c r="F296" s="153">
        <v>11.7</v>
      </c>
      <c r="G296" s="153">
        <v>14.1</v>
      </c>
      <c r="H296" s="153">
        <v>14.9</v>
      </c>
      <c r="I296" s="153">
        <v>233.4</v>
      </c>
      <c r="J296" s="153">
        <v>0.16</v>
      </c>
      <c r="K296" s="153">
        <v>0.13</v>
      </c>
      <c r="L296" s="153">
        <v>0.31</v>
      </c>
      <c r="M296" s="153">
        <v>8.9999999999999993E-3</v>
      </c>
      <c r="N296" s="153">
        <v>0.01</v>
      </c>
      <c r="O296" s="153">
        <v>12.65</v>
      </c>
      <c r="P296" s="153">
        <v>138.55000000000001</v>
      </c>
      <c r="Q296" s="153">
        <v>1.99</v>
      </c>
      <c r="R296" s="153">
        <v>0.03</v>
      </c>
      <c r="S296" s="153">
        <v>20.29</v>
      </c>
      <c r="T296" s="153">
        <v>1.73</v>
      </c>
    </row>
    <row r="297" spans="2:20" ht="25.5" customHeight="1">
      <c r="B297" s="146">
        <v>203</v>
      </c>
      <c r="C297" s="316" t="s">
        <v>309</v>
      </c>
      <c r="D297" s="316"/>
      <c r="E297" s="146">
        <v>150</v>
      </c>
      <c r="F297" s="146">
        <v>5.52</v>
      </c>
      <c r="G297" s="146">
        <v>4.5199999999999996</v>
      </c>
      <c r="H297" s="146">
        <v>26.45</v>
      </c>
      <c r="I297" s="146">
        <v>161.9</v>
      </c>
      <c r="J297" s="146">
        <v>0.09</v>
      </c>
      <c r="K297" s="146">
        <v>0.03</v>
      </c>
      <c r="L297" s="146">
        <v>0</v>
      </c>
      <c r="M297" s="146">
        <v>0.03</v>
      </c>
      <c r="N297" s="146">
        <v>1.25</v>
      </c>
      <c r="O297" s="146">
        <v>13.28</v>
      </c>
      <c r="P297" s="146">
        <v>46.21</v>
      </c>
      <c r="Q297" s="146">
        <v>0.78</v>
      </c>
      <c r="R297" s="146">
        <v>2E-3</v>
      </c>
      <c r="S297" s="146">
        <v>8.4700000000000006</v>
      </c>
      <c r="T297" s="146">
        <v>0.86</v>
      </c>
    </row>
    <row r="298" spans="2:20" ht="18.75" customHeight="1">
      <c r="B298" s="146">
        <v>338</v>
      </c>
      <c r="C298" s="316" t="s">
        <v>261</v>
      </c>
      <c r="D298" s="316"/>
      <c r="E298" s="146">
        <v>100</v>
      </c>
      <c r="F298" s="146">
        <v>0.4</v>
      </c>
      <c r="G298" s="146">
        <v>0.4</v>
      </c>
      <c r="H298" s="146">
        <v>9.8000000000000007</v>
      </c>
      <c r="I298" s="146">
        <v>44.4</v>
      </c>
      <c r="J298" s="146">
        <v>0.04</v>
      </c>
      <c r="K298" s="146">
        <v>0.02</v>
      </c>
      <c r="L298" s="146">
        <v>10</v>
      </c>
      <c r="M298" s="146">
        <v>0</v>
      </c>
      <c r="N298" s="146">
        <v>0.2</v>
      </c>
      <c r="O298" s="146">
        <v>16</v>
      </c>
      <c r="P298" s="146">
        <v>11</v>
      </c>
      <c r="Q298" s="146">
        <v>0</v>
      </c>
      <c r="R298" s="146">
        <v>0</v>
      </c>
      <c r="S298" s="146">
        <v>9</v>
      </c>
      <c r="T298" s="146">
        <v>2.2000000000000002</v>
      </c>
    </row>
    <row r="299" spans="2:20" ht="18.75" customHeight="1">
      <c r="B299" s="146">
        <v>381</v>
      </c>
      <c r="C299" s="316" t="s">
        <v>317</v>
      </c>
      <c r="D299" s="316"/>
      <c r="E299" s="146">
        <v>200</v>
      </c>
      <c r="F299" s="146"/>
      <c r="G299" s="146"/>
      <c r="H299" s="146">
        <v>19.96</v>
      </c>
      <c r="I299" s="146">
        <v>75</v>
      </c>
      <c r="J299" s="146"/>
      <c r="K299" s="146"/>
      <c r="L299" s="146"/>
      <c r="M299" s="146"/>
      <c r="N299" s="146">
        <v>0</v>
      </c>
      <c r="O299" s="146">
        <v>0.4</v>
      </c>
      <c r="P299" s="146"/>
      <c r="Q299" s="146">
        <v>0</v>
      </c>
      <c r="R299" s="146"/>
      <c r="S299" s="146"/>
      <c r="T299" s="146">
        <v>0.06</v>
      </c>
    </row>
    <row r="300" spans="2:20" ht="18.75" customHeight="1">
      <c r="B300" s="146" t="s">
        <v>270</v>
      </c>
      <c r="C300" s="316" t="s">
        <v>88</v>
      </c>
      <c r="D300" s="316"/>
      <c r="E300" s="146">
        <v>40</v>
      </c>
      <c r="F300" s="146">
        <v>3.04</v>
      </c>
      <c r="G300" s="146">
        <v>0.32</v>
      </c>
      <c r="H300" s="146">
        <v>19.68</v>
      </c>
      <c r="I300" s="146">
        <v>89</v>
      </c>
      <c r="J300" s="146">
        <v>0.04</v>
      </c>
      <c r="K300" s="146">
        <v>0.01</v>
      </c>
      <c r="L300" s="146">
        <v>0.88</v>
      </c>
      <c r="M300" s="146">
        <v>0</v>
      </c>
      <c r="N300" s="146">
        <v>0.7</v>
      </c>
      <c r="O300" s="146">
        <v>8</v>
      </c>
      <c r="P300" s="146">
        <v>26</v>
      </c>
      <c r="Q300" s="146">
        <v>8.0000000000000002E-3</v>
      </c>
      <c r="R300" s="146">
        <v>3.0000000000000001E-3</v>
      </c>
      <c r="S300" s="146">
        <v>0</v>
      </c>
      <c r="T300" s="146">
        <v>0.44</v>
      </c>
    </row>
    <row r="301" spans="2:20">
      <c r="B301" s="156" t="s">
        <v>285</v>
      </c>
      <c r="C301" s="157"/>
      <c r="D301" s="159"/>
      <c r="E301" s="147">
        <f>E295+E297+E298+E299+E300+100</f>
        <v>630</v>
      </c>
      <c r="F301" s="147">
        <f>F295+F296+F297+F298+F299+F300</f>
        <v>20.989999999999995</v>
      </c>
      <c r="G301" s="147">
        <f t="shared" ref="G301:T301" si="84">G295+G296+G297+G298+G299+G300</f>
        <v>19.379999999999995</v>
      </c>
      <c r="H301" s="147">
        <f t="shared" si="84"/>
        <v>91.920000000000016</v>
      </c>
      <c r="I301" s="147">
        <f t="shared" si="84"/>
        <v>609.92999999999995</v>
      </c>
      <c r="J301" s="147">
        <f t="shared" si="84"/>
        <v>0.33899999999999997</v>
      </c>
      <c r="K301" s="147">
        <f t="shared" si="84"/>
        <v>0.2</v>
      </c>
      <c r="L301" s="147">
        <f t="shared" si="84"/>
        <v>14.190000000000001</v>
      </c>
      <c r="M301" s="147">
        <f t="shared" si="84"/>
        <v>4.1999999999999996E-2</v>
      </c>
      <c r="N301" s="147">
        <f t="shared" si="84"/>
        <v>2.19</v>
      </c>
      <c r="O301" s="147">
        <f t="shared" si="84"/>
        <v>57.23</v>
      </c>
      <c r="P301" s="147">
        <f t="shared" si="84"/>
        <v>234.36</v>
      </c>
      <c r="Q301" s="147">
        <f t="shared" si="84"/>
        <v>2.8419999999999996</v>
      </c>
      <c r="R301" s="147">
        <f t="shared" si="84"/>
        <v>3.6000000000000004E-2</v>
      </c>
      <c r="S301" s="147">
        <f t="shared" si="84"/>
        <v>41.96</v>
      </c>
      <c r="T301" s="147">
        <f t="shared" si="84"/>
        <v>5.4700000000000006</v>
      </c>
    </row>
    <row r="302" spans="2:20">
      <c r="B302" s="317" t="s">
        <v>265</v>
      </c>
      <c r="C302" s="317"/>
      <c r="D302" s="317"/>
      <c r="E302" s="317"/>
      <c r="F302" s="142">
        <f t="shared" ref="F302:T302" si="85">F301/F319</f>
        <v>0.27259740259740251</v>
      </c>
      <c r="G302" s="142">
        <f t="shared" si="85"/>
        <v>0.24531645569620247</v>
      </c>
      <c r="H302" s="142">
        <f t="shared" si="85"/>
        <v>0.2743880597014926</v>
      </c>
      <c r="I302" s="142">
        <f t="shared" si="85"/>
        <v>0.2595446808510638</v>
      </c>
      <c r="J302" s="142">
        <f t="shared" si="85"/>
        <v>0.28249999999999997</v>
      </c>
      <c r="K302" s="142">
        <f t="shared" si="85"/>
        <v>0.14285714285714288</v>
      </c>
      <c r="L302" s="142">
        <f t="shared" si="85"/>
        <v>0.23650000000000002</v>
      </c>
      <c r="M302" s="142">
        <f t="shared" si="85"/>
        <v>0.06</v>
      </c>
      <c r="N302" s="142">
        <f t="shared" si="85"/>
        <v>0.219</v>
      </c>
      <c r="O302" s="142">
        <f t="shared" si="85"/>
        <v>5.2027272727272728E-2</v>
      </c>
      <c r="P302" s="142">
        <f t="shared" si="85"/>
        <v>0.21305454545454547</v>
      </c>
      <c r="Q302" s="142">
        <f t="shared" si="85"/>
        <v>0.28419999999999995</v>
      </c>
      <c r="R302" s="142">
        <f t="shared" si="85"/>
        <v>0.36000000000000004</v>
      </c>
      <c r="S302" s="142">
        <f t="shared" si="85"/>
        <v>0.16784000000000002</v>
      </c>
      <c r="T302" s="142">
        <f t="shared" si="85"/>
        <v>0.45583333333333337</v>
      </c>
    </row>
    <row r="303" spans="2:20">
      <c r="B303" s="317" t="s">
        <v>266</v>
      </c>
      <c r="C303" s="317"/>
      <c r="D303" s="317"/>
      <c r="E303" s="317"/>
      <c r="F303" s="317"/>
      <c r="G303" s="317"/>
      <c r="H303" s="317"/>
      <c r="I303" s="317"/>
      <c r="J303" s="317"/>
      <c r="K303" s="317"/>
      <c r="L303" s="317"/>
      <c r="M303" s="317"/>
      <c r="N303" s="317"/>
      <c r="O303" s="317"/>
      <c r="P303" s="317"/>
      <c r="Q303" s="317"/>
      <c r="R303" s="317"/>
      <c r="S303" s="317"/>
      <c r="T303" s="317"/>
    </row>
    <row r="304" spans="2:20" ht="28.5" customHeight="1">
      <c r="B304" s="146">
        <v>52</v>
      </c>
      <c r="C304" s="316" t="s">
        <v>136</v>
      </c>
      <c r="D304" s="316"/>
      <c r="E304" s="146">
        <v>60</v>
      </c>
      <c r="F304" s="146">
        <v>0.86</v>
      </c>
      <c r="G304" s="146">
        <v>3.05</v>
      </c>
      <c r="H304" s="146">
        <v>5.13</v>
      </c>
      <c r="I304" s="146">
        <v>50.13</v>
      </c>
      <c r="J304" s="146">
        <v>0.01</v>
      </c>
      <c r="K304" s="146">
        <v>0.02</v>
      </c>
      <c r="L304" s="146">
        <v>5.7</v>
      </c>
      <c r="M304" s="146">
        <v>0.01</v>
      </c>
      <c r="N304" s="146">
        <v>0.1</v>
      </c>
      <c r="O304" s="146">
        <v>26.61</v>
      </c>
      <c r="P304" s="146">
        <v>25.64</v>
      </c>
      <c r="Q304" s="146">
        <v>0.43</v>
      </c>
      <c r="R304" s="146">
        <v>0.01</v>
      </c>
      <c r="S304" s="146">
        <v>12.9</v>
      </c>
      <c r="T304" s="146">
        <v>0.84</v>
      </c>
    </row>
    <row r="305" spans="2:20" ht="32.25" customHeight="1">
      <c r="B305" s="146">
        <v>124</v>
      </c>
      <c r="C305" s="316" t="s">
        <v>223</v>
      </c>
      <c r="D305" s="316"/>
      <c r="E305" s="146">
        <v>200</v>
      </c>
      <c r="F305" s="146">
        <v>1.4</v>
      </c>
      <c r="G305" s="146">
        <v>4.5</v>
      </c>
      <c r="H305" s="146">
        <v>6.8</v>
      </c>
      <c r="I305" s="146">
        <v>76</v>
      </c>
      <c r="J305" s="146">
        <v>0.04</v>
      </c>
      <c r="K305" s="146">
        <v>0.04</v>
      </c>
      <c r="L305" s="146">
        <v>9.6</v>
      </c>
      <c r="M305" s="146">
        <v>0.04</v>
      </c>
      <c r="N305" s="146"/>
      <c r="O305" s="146">
        <v>25.44</v>
      </c>
      <c r="P305" s="146">
        <v>0</v>
      </c>
      <c r="Q305" s="146"/>
      <c r="R305" s="146">
        <v>0</v>
      </c>
      <c r="S305" s="146">
        <v>15.28</v>
      </c>
      <c r="T305" s="146">
        <v>0.56000000000000005</v>
      </c>
    </row>
    <row r="306" spans="2:20" ht="21" customHeight="1">
      <c r="B306" s="146">
        <v>232</v>
      </c>
      <c r="C306" s="316" t="s">
        <v>318</v>
      </c>
      <c r="D306" s="316"/>
      <c r="E306" s="146">
        <v>90</v>
      </c>
      <c r="F306" s="146">
        <v>19.989999999999998</v>
      </c>
      <c r="G306" s="146">
        <v>10.49</v>
      </c>
      <c r="H306" s="146">
        <v>2.69</v>
      </c>
      <c r="I306" s="146">
        <v>185.1</v>
      </c>
      <c r="J306" s="146">
        <v>0.2</v>
      </c>
      <c r="K306" s="146">
        <v>0.17</v>
      </c>
      <c r="L306" s="146">
        <v>0.9</v>
      </c>
      <c r="M306" s="146">
        <v>0.03</v>
      </c>
      <c r="N306" s="146">
        <v>0.1125</v>
      </c>
      <c r="O306" s="146">
        <v>37.5</v>
      </c>
      <c r="P306" s="146">
        <v>11.3</v>
      </c>
      <c r="Q306" s="146">
        <v>0.2</v>
      </c>
      <c r="R306" s="146">
        <v>0.01</v>
      </c>
      <c r="S306" s="146">
        <v>20.72</v>
      </c>
      <c r="T306" s="146">
        <v>0.71</v>
      </c>
    </row>
    <row r="307" spans="2:20" ht="25.5" customHeight="1">
      <c r="B307" s="146">
        <v>312</v>
      </c>
      <c r="C307" s="316" t="s">
        <v>286</v>
      </c>
      <c r="D307" s="316"/>
      <c r="E307" s="146">
        <v>150</v>
      </c>
      <c r="F307" s="146">
        <v>3.29</v>
      </c>
      <c r="G307" s="146">
        <v>7.06</v>
      </c>
      <c r="H307" s="146">
        <v>22.21</v>
      </c>
      <c r="I307" s="146">
        <v>165.54</v>
      </c>
      <c r="J307" s="146">
        <v>0.16</v>
      </c>
      <c r="K307" s="146">
        <v>0.13</v>
      </c>
      <c r="L307" s="146">
        <v>26.11</v>
      </c>
      <c r="M307" s="146">
        <v>0.08</v>
      </c>
      <c r="N307" s="146">
        <v>1.5</v>
      </c>
      <c r="O307" s="146">
        <v>42.54</v>
      </c>
      <c r="P307" s="146">
        <v>97.8</v>
      </c>
      <c r="Q307" s="146">
        <v>0.29899999999999999</v>
      </c>
      <c r="R307" s="146">
        <v>1E-3</v>
      </c>
      <c r="S307" s="146">
        <v>33.06</v>
      </c>
      <c r="T307" s="146">
        <v>1.19</v>
      </c>
    </row>
    <row r="308" spans="2:20" ht="21" customHeight="1">
      <c r="B308" s="146">
        <v>376</v>
      </c>
      <c r="C308" s="316" t="s">
        <v>57</v>
      </c>
      <c r="D308" s="316"/>
      <c r="E308" s="146">
        <v>200</v>
      </c>
      <c r="F308" s="146">
        <v>0.2</v>
      </c>
      <c r="G308" s="146">
        <v>0.05</v>
      </c>
      <c r="H308" s="146">
        <v>15.01</v>
      </c>
      <c r="I308" s="146">
        <v>61</v>
      </c>
      <c r="J308" s="146">
        <v>0</v>
      </c>
      <c r="K308" s="146">
        <v>0.01</v>
      </c>
      <c r="L308" s="146">
        <v>9</v>
      </c>
      <c r="M308" s="146">
        <v>1E-4</v>
      </c>
      <c r="N308" s="146">
        <v>4.4999999999999998E-2</v>
      </c>
      <c r="O308" s="146">
        <v>5.25</v>
      </c>
      <c r="P308" s="146">
        <v>8.24</v>
      </c>
      <c r="Q308" s="146">
        <v>8.0000000000000002E-3</v>
      </c>
      <c r="R308" s="146">
        <v>0</v>
      </c>
      <c r="S308" s="146">
        <v>4.4000000000000004</v>
      </c>
      <c r="T308" s="146">
        <v>0.87</v>
      </c>
    </row>
    <row r="309" spans="2:20" ht="19.5" customHeight="1">
      <c r="B309" s="146" t="s">
        <v>270</v>
      </c>
      <c r="C309" s="316" t="s">
        <v>135</v>
      </c>
      <c r="D309" s="316"/>
      <c r="E309" s="146">
        <v>40</v>
      </c>
      <c r="F309" s="146">
        <v>2.64</v>
      </c>
      <c r="G309" s="146">
        <v>0.48</v>
      </c>
      <c r="H309" s="146">
        <v>13.68</v>
      </c>
      <c r="I309" s="146">
        <v>69.599999999999994</v>
      </c>
      <c r="J309" s="146">
        <v>0.08</v>
      </c>
      <c r="K309" s="146">
        <v>0.04</v>
      </c>
      <c r="L309" s="146">
        <v>0</v>
      </c>
      <c r="M309" s="146">
        <v>0</v>
      </c>
      <c r="N309" s="146">
        <v>2.4</v>
      </c>
      <c r="O309" s="146">
        <v>14</v>
      </c>
      <c r="P309" s="146">
        <v>63.2</v>
      </c>
      <c r="Q309" s="146">
        <v>1.2</v>
      </c>
      <c r="R309" s="146">
        <v>1E-3</v>
      </c>
      <c r="S309" s="146">
        <v>9.4</v>
      </c>
      <c r="T309" s="146">
        <v>0.78</v>
      </c>
    </row>
    <row r="310" spans="2:20">
      <c r="B310" s="146" t="s">
        <v>270</v>
      </c>
      <c r="C310" s="316" t="s">
        <v>35</v>
      </c>
      <c r="D310" s="316"/>
      <c r="E310" s="146">
        <v>30</v>
      </c>
      <c r="F310" s="146">
        <v>1.52</v>
      </c>
      <c r="G310" s="146">
        <v>0.16</v>
      </c>
      <c r="H310" s="146">
        <v>9.84</v>
      </c>
      <c r="I310" s="146">
        <v>46.9</v>
      </c>
      <c r="J310" s="146">
        <v>0.02</v>
      </c>
      <c r="K310" s="146">
        <v>0.01</v>
      </c>
      <c r="L310" s="146">
        <v>0.44</v>
      </c>
      <c r="M310" s="146">
        <v>0</v>
      </c>
      <c r="N310" s="146">
        <v>0.7</v>
      </c>
      <c r="O310" s="146">
        <v>4</v>
      </c>
      <c r="P310" s="146">
        <v>13</v>
      </c>
      <c r="Q310" s="146">
        <v>8.0000000000000002E-3</v>
      </c>
      <c r="R310" s="146">
        <v>1E-3</v>
      </c>
      <c r="S310" s="146">
        <v>0</v>
      </c>
      <c r="T310" s="146">
        <v>0.22</v>
      </c>
    </row>
    <row r="311" spans="2:20" ht="25.5" customHeight="1">
      <c r="B311" s="317" t="s">
        <v>271</v>
      </c>
      <c r="C311" s="317"/>
      <c r="D311" s="317"/>
      <c r="E311" s="147">
        <f>SUM(E304:E310)</f>
        <v>770</v>
      </c>
      <c r="F311" s="147">
        <f>SUM(F304:F310)</f>
        <v>29.9</v>
      </c>
      <c r="G311" s="147">
        <f t="shared" ref="G311:T311" si="86">SUM(G304:G310)</f>
        <v>25.79</v>
      </c>
      <c r="H311" s="147">
        <f t="shared" si="86"/>
        <v>75.36</v>
      </c>
      <c r="I311" s="147">
        <f t="shared" si="86"/>
        <v>654.27</v>
      </c>
      <c r="J311" s="147">
        <f t="shared" si="86"/>
        <v>0.51</v>
      </c>
      <c r="K311" s="147">
        <f t="shared" si="86"/>
        <v>0.42</v>
      </c>
      <c r="L311" s="147">
        <f t="shared" si="86"/>
        <v>51.75</v>
      </c>
      <c r="M311" s="147">
        <f t="shared" si="86"/>
        <v>0.16009999999999999</v>
      </c>
      <c r="N311" s="147">
        <f t="shared" si="86"/>
        <v>4.8574999999999999</v>
      </c>
      <c r="O311" s="147">
        <f t="shared" si="86"/>
        <v>155.34</v>
      </c>
      <c r="P311" s="147">
        <f t="shared" si="86"/>
        <v>219.18</v>
      </c>
      <c r="Q311" s="147">
        <f t="shared" si="86"/>
        <v>2.145</v>
      </c>
      <c r="R311" s="147">
        <f t="shared" si="86"/>
        <v>2.3000000000000003E-2</v>
      </c>
      <c r="S311" s="147">
        <f t="shared" si="86"/>
        <v>95.760000000000019</v>
      </c>
      <c r="T311" s="147">
        <f t="shared" si="86"/>
        <v>5.17</v>
      </c>
    </row>
    <row r="312" spans="2:20">
      <c r="B312" s="317" t="s">
        <v>265</v>
      </c>
      <c r="C312" s="317"/>
      <c r="D312" s="317"/>
      <c r="E312" s="317"/>
      <c r="F312" s="142">
        <f>F311/F319</f>
        <v>0.38831168831168827</v>
      </c>
      <c r="G312" s="142">
        <f t="shared" ref="G312:T312" si="87">G311/G319</f>
        <v>0.32645569620253162</v>
      </c>
      <c r="H312" s="142">
        <f t="shared" si="87"/>
        <v>0.22495522388059702</v>
      </c>
      <c r="I312" s="142">
        <f t="shared" si="87"/>
        <v>0.2784127659574468</v>
      </c>
      <c r="J312" s="142">
        <f t="shared" si="87"/>
        <v>0.42500000000000004</v>
      </c>
      <c r="K312" s="142">
        <f t="shared" si="87"/>
        <v>0.3</v>
      </c>
      <c r="L312" s="142">
        <f t="shared" si="87"/>
        <v>0.86250000000000004</v>
      </c>
      <c r="M312" s="142">
        <f t="shared" si="87"/>
        <v>0.22871428571428573</v>
      </c>
      <c r="N312" s="142">
        <f t="shared" si="87"/>
        <v>0.48575000000000002</v>
      </c>
      <c r="O312" s="142">
        <f t="shared" si="87"/>
        <v>0.14121818181818183</v>
      </c>
      <c r="P312" s="142">
        <f t="shared" si="87"/>
        <v>0.19925454545454546</v>
      </c>
      <c r="Q312" s="142">
        <f t="shared" si="87"/>
        <v>0.2145</v>
      </c>
      <c r="R312" s="142">
        <f t="shared" si="87"/>
        <v>0.23</v>
      </c>
      <c r="S312" s="142">
        <f t="shared" si="87"/>
        <v>0.3830400000000001</v>
      </c>
      <c r="T312" s="142">
        <f t="shared" si="87"/>
        <v>0.43083333333333335</v>
      </c>
    </row>
    <row r="313" spans="2:20">
      <c r="B313" s="317" t="s">
        <v>272</v>
      </c>
      <c r="C313" s="317"/>
      <c r="D313" s="317"/>
      <c r="E313" s="317"/>
      <c r="F313" s="317"/>
      <c r="G313" s="317"/>
      <c r="H313" s="317"/>
      <c r="I313" s="317"/>
      <c r="J313" s="317"/>
      <c r="K313" s="317"/>
      <c r="L313" s="317"/>
      <c r="M313" s="317"/>
      <c r="N313" s="317"/>
      <c r="O313" s="317"/>
      <c r="P313" s="317"/>
      <c r="Q313" s="317"/>
      <c r="R313" s="317"/>
      <c r="S313" s="317"/>
      <c r="T313" s="317"/>
    </row>
    <row r="314" spans="2:20" ht="16.5" customHeight="1">
      <c r="B314" s="153" t="s">
        <v>270</v>
      </c>
      <c r="C314" s="315" t="s">
        <v>407</v>
      </c>
      <c r="D314" s="315"/>
      <c r="E314" s="153">
        <v>65</v>
      </c>
      <c r="F314" s="153">
        <v>4.16</v>
      </c>
      <c r="G314" s="153">
        <v>8.14</v>
      </c>
      <c r="H314" s="153">
        <v>33.799999999999997</v>
      </c>
      <c r="I314" s="153">
        <v>225.34</v>
      </c>
      <c r="J314" s="153">
        <v>0.06</v>
      </c>
      <c r="K314" s="153">
        <v>0.05</v>
      </c>
      <c r="L314" s="153">
        <v>0</v>
      </c>
      <c r="M314" s="153">
        <v>0.06</v>
      </c>
      <c r="N314" s="153"/>
      <c r="O314" s="153">
        <v>11.26</v>
      </c>
      <c r="P314" s="153">
        <v>0</v>
      </c>
      <c r="Q314" s="153"/>
      <c r="R314" s="153">
        <v>0</v>
      </c>
      <c r="S314" s="153">
        <v>0</v>
      </c>
      <c r="T314" s="153">
        <v>0.6</v>
      </c>
    </row>
    <row r="315" spans="2:20" ht="26.25" customHeight="1">
      <c r="B315" s="153">
        <v>648</v>
      </c>
      <c r="C315" s="315" t="s">
        <v>219</v>
      </c>
      <c r="D315" s="315"/>
      <c r="E315" s="153">
        <v>200</v>
      </c>
      <c r="F315" s="153">
        <v>0</v>
      </c>
      <c r="G315" s="153">
        <v>0</v>
      </c>
      <c r="H315" s="153">
        <v>20</v>
      </c>
      <c r="I315" s="153">
        <v>76</v>
      </c>
      <c r="J315" s="153">
        <v>0</v>
      </c>
      <c r="K315" s="153">
        <v>0</v>
      </c>
      <c r="L315" s="153">
        <v>0</v>
      </c>
      <c r="M315" s="153">
        <v>0</v>
      </c>
      <c r="N315" s="153"/>
      <c r="O315" s="153">
        <v>0.48</v>
      </c>
      <c r="P315" s="153">
        <v>0</v>
      </c>
      <c r="Q315" s="153">
        <v>0</v>
      </c>
      <c r="R315" s="153">
        <v>0</v>
      </c>
      <c r="S315" s="153">
        <v>0</v>
      </c>
      <c r="T315" s="153">
        <v>0.06</v>
      </c>
    </row>
    <row r="316" spans="2:20" ht="15" customHeight="1">
      <c r="B316" s="312" t="s">
        <v>274</v>
      </c>
      <c r="C316" s="313"/>
      <c r="D316" s="314"/>
      <c r="E316" s="164">
        <f>SUM(E314:E315)</f>
        <v>265</v>
      </c>
      <c r="F316" s="164">
        <f t="shared" ref="F316:T316" si="88">SUM(F314:F315)</f>
        <v>4.16</v>
      </c>
      <c r="G316" s="164">
        <f t="shared" si="88"/>
        <v>8.14</v>
      </c>
      <c r="H316" s="164">
        <f t="shared" si="88"/>
        <v>53.8</v>
      </c>
      <c r="I316" s="164">
        <f t="shared" si="88"/>
        <v>301.34000000000003</v>
      </c>
      <c r="J316" s="164">
        <f t="shared" si="88"/>
        <v>0.06</v>
      </c>
      <c r="K316" s="164">
        <f t="shared" si="88"/>
        <v>0.05</v>
      </c>
      <c r="L316" s="164">
        <f t="shared" si="88"/>
        <v>0</v>
      </c>
      <c r="M316" s="164">
        <f t="shared" si="88"/>
        <v>0.06</v>
      </c>
      <c r="N316" s="164">
        <f t="shared" si="88"/>
        <v>0</v>
      </c>
      <c r="O316" s="164">
        <f t="shared" si="88"/>
        <v>11.74</v>
      </c>
      <c r="P316" s="164">
        <f t="shared" si="88"/>
        <v>0</v>
      </c>
      <c r="Q316" s="164">
        <f t="shared" si="88"/>
        <v>0</v>
      </c>
      <c r="R316" s="164">
        <f t="shared" si="88"/>
        <v>0</v>
      </c>
      <c r="S316" s="164">
        <f t="shared" si="88"/>
        <v>0</v>
      </c>
      <c r="T316" s="164">
        <f t="shared" si="88"/>
        <v>0.65999999999999992</v>
      </c>
    </row>
    <row r="317" spans="2:20">
      <c r="B317" s="317" t="s">
        <v>265</v>
      </c>
      <c r="C317" s="317"/>
      <c r="D317" s="317"/>
      <c r="E317" s="317"/>
      <c r="F317" s="142">
        <f>F316/F319</f>
        <v>5.4025974025974026E-2</v>
      </c>
      <c r="G317" s="142">
        <f t="shared" ref="G317:T317" si="89">G316/G319</f>
        <v>0.10303797468354431</v>
      </c>
      <c r="H317" s="142">
        <f t="shared" si="89"/>
        <v>0.16059701492537312</v>
      </c>
      <c r="I317" s="142">
        <f t="shared" si="89"/>
        <v>0.12822978723404257</v>
      </c>
      <c r="J317" s="142">
        <f t="shared" si="89"/>
        <v>0.05</v>
      </c>
      <c r="K317" s="142">
        <f t="shared" si="89"/>
        <v>3.5714285714285719E-2</v>
      </c>
      <c r="L317" s="142">
        <f t="shared" si="89"/>
        <v>0</v>
      </c>
      <c r="M317" s="142">
        <f t="shared" si="89"/>
        <v>8.5714285714285715E-2</v>
      </c>
      <c r="N317" s="142">
        <f t="shared" si="89"/>
        <v>0</v>
      </c>
      <c r="O317" s="142">
        <f t="shared" si="89"/>
        <v>1.0672727272727273E-2</v>
      </c>
      <c r="P317" s="142">
        <f t="shared" si="89"/>
        <v>0</v>
      </c>
      <c r="Q317" s="142">
        <f t="shared" si="89"/>
        <v>0</v>
      </c>
      <c r="R317" s="142">
        <f t="shared" si="89"/>
        <v>0</v>
      </c>
      <c r="S317" s="142">
        <f t="shared" si="89"/>
        <v>0</v>
      </c>
      <c r="T317" s="142">
        <f t="shared" si="89"/>
        <v>5.4999999999999993E-2</v>
      </c>
    </row>
    <row r="318" spans="2:20">
      <c r="B318" s="317" t="s">
        <v>275</v>
      </c>
      <c r="C318" s="317"/>
      <c r="D318" s="317"/>
      <c r="E318" s="317"/>
      <c r="F318" s="147">
        <f>F316+F311+F301</f>
        <v>55.05</v>
      </c>
      <c r="G318" s="147">
        <f t="shared" ref="G318:T318" si="90">G316+G311+G301</f>
        <v>53.309999999999995</v>
      </c>
      <c r="H318" s="147">
        <f t="shared" si="90"/>
        <v>221.08</v>
      </c>
      <c r="I318" s="147">
        <f t="shared" si="90"/>
        <v>1565.54</v>
      </c>
      <c r="J318" s="147">
        <f t="shared" si="90"/>
        <v>0.90900000000000003</v>
      </c>
      <c r="K318" s="147">
        <f t="shared" si="90"/>
        <v>0.66999999999999993</v>
      </c>
      <c r="L318" s="147">
        <f t="shared" si="90"/>
        <v>65.94</v>
      </c>
      <c r="M318" s="147">
        <f t="shared" si="90"/>
        <v>0.2621</v>
      </c>
      <c r="N318" s="147">
        <f t="shared" si="90"/>
        <v>7.0474999999999994</v>
      </c>
      <c r="O318" s="147">
        <f t="shared" si="90"/>
        <v>224.31</v>
      </c>
      <c r="P318" s="147">
        <f t="shared" si="90"/>
        <v>453.54</v>
      </c>
      <c r="Q318" s="147">
        <f t="shared" si="90"/>
        <v>4.9870000000000001</v>
      </c>
      <c r="R318" s="147">
        <f t="shared" si="90"/>
        <v>5.9000000000000011E-2</v>
      </c>
      <c r="S318" s="147">
        <f t="shared" si="90"/>
        <v>137.72000000000003</v>
      </c>
      <c r="T318" s="147">
        <f t="shared" si="90"/>
        <v>11.3</v>
      </c>
    </row>
    <row r="319" spans="2:20">
      <c r="B319" s="317" t="s">
        <v>276</v>
      </c>
      <c r="C319" s="317"/>
      <c r="D319" s="317"/>
      <c r="E319" s="317"/>
      <c r="F319" s="146">
        <v>77</v>
      </c>
      <c r="G319" s="146">
        <v>79</v>
      </c>
      <c r="H319" s="146">
        <v>335</v>
      </c>
      <c r="I319" s="146">
        <v>2350</v>
      </c>
      <c r="J319" s="146">
        <v>1.2</v>
      </c>
      <c r="K319" s="146">
        <v>1.4</v>
      </c>
      <c r="L319" s="146">
        <v>60</v>
      </c>
      <c r="M319" s="146">
        <v>0.7</v>
      </c>
      <c r="N319" s="146">
        <v>10</v>
      </c>
      <c r="O319" s="146">
        <v>1100</v>
      </c>
      <c r="P319" s="146">
        <v>1100</v>
      </c>
      <c r="Q319" s="146">
        <v>10</v>
      </c>
      <c r="R319" s="146">
        <v>0.1</v>
      </c>
      <c r="S319" s="146">
        <v>250</v>
      </c>
      <c r="T319" s="146">
        <v>12</v>
      </c>
    </row>
    <row r="320" spans="2:20">
      <c r="B320" s="317" t="s">
        <v>265</v>
      </c>
      <c r="C320" s="317"/>
      <c r="D320" s="317"/>
      <c r="E320" s="317"/>
      <c r="F320" s="142">
        <f>F318/F319</f>
        <v>0.71493506493506487</v>
      </c>
      <c r="G320" s="142">
        <f t="shared" ref="G320:T320" si="91">G318/G319</f>
        <v>0.67481012658227846</v>
      </c>
      <c r="H320" s="142">
        <f t="shared" si="91"/>
        <v>0.65994029850746272</v>
      </c>
      <c r="I320" s="142">
        <f t="shared" si="91"/>
        <v>0.6661872340425532</v>
      </c>
      <c r="J320" s="142">
        <f t="shared" si="91"/>
        <v>0.75750000000000006</v>
      </c>
      <c r="K320" s="142">
        <f t="shared" si="91"/>
        <v>0.47857142857142854</v>
      </c>
      <c r="L320" s="142">
        <f t="shared" si="91"/>
        <v>1.099</v>
      </c>
      <c r="M320" s="142">
        <f t="shared" si="91"/>
        <v>0.37442857142857144</v>
      </c>
      <c r="N320" s="142">
        <f t="shared" si="91"/>
        <v>0.70474999999999999</v>
      </c>
      <c r="O320" s="142">
        <f t="shared" si="91"/>
        <v>0.20391818181818183</v>
      </c>
      <c r="P320" s="142">
        <f t="shared" si="91"/>
        <v>0.4123090909090909</v>
      </c>
      <c r="Q320" s="142">
        <f t="shared" si="91"/>
        <v>0.49870000000000003</v>
      </c>
      <c r="R320" s="142">
        <f t="shared" si="91"/>
        <v>0.59000000000000008</v>
      </c>
      <c r="S320" s="142">
        <f t="shared" si="91"/>
        <v>0.55088000000000015</v>
      </c>
      <c r="T320" s="142">
        <f t="shared" si="91"/>
        <v>0.94166666666666676</v>
      </c>
    </row>
    <row r="321" spans="2:20">
      <c r="B321" s="144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319" t="s">
        <v>229</v>
      </c>
      <c r="N321" s="319"/>
      <c r="O321" s="319"/>
      <c r="P321" s="319"/>
      <c r="Q321" s="319"/>
      <c r="R321" s="319"/>
      <c r="S321" s="319"/>
      <c r="T321" s="319"/>
    </row>
    <row r="322" spans="2:20">
      <c r="B322" s="317" t="s">
        <v>316</v>
      </c>
      <c r="C322" s="317"/>
      <c r="D322" s="317"/>
      <c r="E322" s="317"/>
      <c r="F322" s="317"/>
      <c r="G322" s="317"/>
      <c r="H322" s="317"/>
      <c r="I322" s="317"/>
      <c r="J322" s="317"/>
      <c r="K322" s="317"/>
      <c r="L322" s="317"/>
      <c r="M322" s="317"/>
      <c r="N322" s="317"/>
      <c r="O322" s="317"/>
      <c r="P322" s="317"/>
      <c r="Q322" s="317"/>
      <c r="R322" s="317"/>
      <c r="S322" s="317"/>
      <c r="T322" s="317"/>
    </row>
    <row r="323" spans="2:20">
      <c r="B323" s="317" t="s">
        <v>231</v>
      </c>
      <c r="C323" s="317"/>
      <c r="D323" s="146"/>
      <c r="E323" s="146"/>
      <c r="F323" s="146"/>
      <c r="G323" s="319" t="s">
        <v>301</v>
      </c>
      <c r="H323" s="319"/>
      <c r="I323" s="319"/>
      <c r="J323" s="146"/>
      <c r="K323" s="146"/>
      <c r="L323" s="317" t="s">
        <v>233</v>
      </c>
      <c r="M323" s="317"/>
      <c r="N323" s="319" t="s">
        <v>234</v>
      </c>
      <c r="O323" s="319"/>
      <c r="P323" s="319"/>
      <c r="Q323" s="319"/>
      <c r="R323" s="146"/>
      <c r="S323" s="146"/>
      <c r="T323" s="146"/>
    </row>
    <row r="324" spans="2:20">
      <c r="B324" s="146"/>
      <c r="C324" s="146"/>
      <c r="D324" s="146"/>
      <c r="E324" s="317" t="s">
        <v>235</v>
      </c>
      <c r="F324" s="317"/>
      <c r="G324" s="146">
        <v>2</v>
      </c>
      <c r="H324" s="146"/>
      <c r="I324" s="146"/>
      <c r="J324" s="146"/>
      <c r="K324" s="146"/>
      <c r="L324" s="317" t="s">
        <v>236</v>
      </c>
      <c r="M324" s="317"/>
      <c r="N324" s="319" t="s">
        <v>237</v>
      </c>
      <c r="O324" s="319"/>
      <c r="P324" s="319"/>
      <c r="Q324" s="319"/>
      <c r="R324" s="319"/>
      <c r="S324" s="319"/>
      <c r="T324" s="319"/>
    </row>
    <row r="325" spans="2:20">
      <c r="B325" s="149" t="s">
        <v>279</v>
      </c>
      <c r="C325" s="321" t="s">
        <v>239</v>
      </c>
      <c r="D325" s="321"/>
      <c r="E325" s="321" t="s">
        <v>240</v>
      </c>
      <c r="F325" s="321" t="s">
        <v>241</v>
      </c>
      <c r="G325" s="321"/>
      <c r="H325" s="321"/>
      <c r="I325" s="149" t="s">
        <v>242</v>
      </c>
      <c r="J325" s="321" t="s">
        <v>244</v>
      </c>
      <c r="K325" s="321"/>
      <c r="L325" s="321"/>
      <c r="M325" s="321"/>
      <c r="N325" s="321"/>
      <c r="O325" s="321" t="s">
        <v>245</v>
      </c>
      <c r="P325" s="321"/>
      <c r="Q325" s="321"/>
      <c r="R325" s="321"/>
      <c r="S325" s="321"/>
      <c r="T325" s="321"/>
    </row>
    <row r="326" spans="2:20" ht="51">
      <c r="B326" s="149" t="s">
        <v>280</v>
      </c>
      <c r="C326" s="321"/>
      <c r="D326" s="321"/>
      <c r="E326" s="321"/>
      <c r="F326" s="149" t="s">
        <v>246</v>
      </c>
      <c r="G326" s="149" t="s">
        <v>247</v>
      </c>
      <c r="H326" s="149" t="s">
        <v>248</v>
      </c>
      <c r="I326" s="149" t="s">
        <v>243</v>
      </c>
      <c r="J326" s="149" t="s">
        <v>249</v>
      </c>
      <c r="K326" s="149" t="s">
        <v>250</v>
      </c>
      <c r="L326" s="149" t="s">
        <v>251</v>
      </c>
      <c r="M326" s="149" t="s">
        <v>252</v>
      </c>
      <c r="N326" s="149" t="s">
        <v>253</v>
      </c>
      <c r="O326" s="149" t="s">
        <v>254</v>
      </c>
      <c r="P326" s="149" t="s">
        <v>255</v>
      </c>
      <c r="Q326" s="149" t="s">
        <v>256</v>
      </c>
      <c r="R326" s="149" t="s">
        <v>257</v>
      </c>
      <c r="S326" s="149" t="s">
        <v>258</v>
      </c>
      <c r="T326" s="149" t="s">
        <v>259</v>
      </c>
    </row>
    <row r="327" spans="2:20">
      <c r="B327" s="150">
        <v>1</v>
      </c>
      <c r="C327" s="318">
        <v>2</v>
      </c>
      <c r="D327" s="318"/>
      <c r="E327" s="150">
        <v>3</v>
      </c>
      <c r="F327" s="150">
        <v>4</v>
      </c>
      <c r="G327" s="150">
        <v>5</v>
      </c>
      <c r="H327" s="150">
        <v>6</v>
      </c>
      <c r="I327" s="150">
        <v>7</v>
      </c>
      <c r="J327" s="150">
        <v>8</v>
      </c>
      <c r="K327" s="150">
        <v>9</v>
      </c>
      <c r="L327" s="150">
        <v>10</v>
      </c>
      <c r="M327" s="150">
        <v>11</v>
      </c>
      <c r="N327" s="150">
        <v>12</v>
      </c>
      <c r="O327" s="150">
        <v>13</v>
      </c>
      <c r="P327" s="150">
        <v>14</v>
      </c>
      <c r="Q327" s="150">
        <v>15</v>
      </c>
      <c r="R327" s="150">
        <v>16</v>
      </c>
      <c r="S327" s="150">
        <v>17</v>
      </c>
      <c r="T327" s="150">
        <v>18</v>
      </c>
    </row>
    <row r="328" spans="2:20">
      <c r="B328" s="317" t="s">
        <v>260</v>
      </c>
      <c r="C328" s="317"/>
      <c r="D328" s="317"/>
      <c r="E328" s="317"/>
      <c r="F328" s="317"/>
      <c r="G328" s="317"/>
      <c r="H328" s="317"/>
      <c r="I328" s="317"/>
      <c r="J328" s="317"/>
      <c r="K328" s="317"/>
      <c r="L328" s="317"/>
      <c r="M328" s="317"/>
      <c r="N328" s="317"/>
      <c r="O328" s="317"/>
      <c r="P328" s="317"/>
      <c r="Q328" s="317"/>
      <c r="R328" s="317"/>
      <c r="S328" s="317"/>
      <c r="T328" s="317"/>
    </row>
    <row r="329" spans="2:20" ht="30" customHeight="1">
      <c r="B329" s="146">
        <v>15</v>
      </c>
      <c r="C329" s="316" t="s">
        <v>262</v>
      </c>
      <c r="D329" s="316"/>
      <c r="E329" s="146">
        <v>20</v>
      </c>
      <c r="F329" s="146">
        <v>4.6399999999999997</v>
      </c>
      <c r="G329" s="146">
        <v>6.8</v>
      </c>
      <c r="H329" s="146">
        <v>0.02</v>
      </c>
      <c r="I329" s="146">
        <v>79.8</v>
      </c>
      <c r="J329" s="146">
        <v>0.01</v>
      </c>
      <c r="K329" s="146">
        <v>0.06</v>
      </c>
      <c r="L329" s="146">
        <v>0.14000000000000001</v>
      </c>
      <c r="M329" s="146">
        <v>4.5999999999999999E-2</v>
      </c>
      <c r="N329" s="146">
        <v>0.1</v>
      </c>
      <c r="O329" s="146">
        <v>176</v>
      </c>
      <c r="P329" s="146">
        <v>100</v>
      </c>
      <c r="Q329" s="146">
        <v>0.8</v>
      </c>
      <c r="R329" s="146">
        <v>0.04</v>
      </c>
      <c r="S329" s="146">
        <v>7</v>
      </c>
      <c r="T329" s="146">
        <v>0.26</v>
      </c>
    </row>
    <row r="330" spans="2:20" ht="25.5" customHeight="1">
      <c r="B330" s="146">
        <v>210</v>
      </c>
      <c r="C330" s="316" t="s">
        <v>303</v>
      </c>
      <c r="D330" s="316"/>
      <c r="E330" s="146">
        <v>200</v>
      </c>
      <c r="F330" s="146">
        <v>16.3</v>
      </c>
      <c r="G330" s="146">
        <v>19</v>
      </c>
      <c r="H330" s="146">
        <v>5</v>
      </c>
      <c r="I330" s="146">
        <v>256.2</v>
      </c>
      <c r="J330" s="146">
        <v>0.12</v>
      </c>
      <c r="K330" s="146">
        <v>0.27</v>
      </c>
      <c r="L330" s="146">
        <v>0.32</v>
      </c>
      <c r="M330" s="146">
        <v>0.04</v>
      </c>
      <c r="N330" s="146">
        <v>1.944</v>
      </c>
      <c r="O330" s="146">
        <v>131.38</v>
      </c>
      <c r="P330" s="146">
        <v>248.5</v>
      </c>
      <c r="Q330" s="146">
        <v>1.35</v>
      </c>
      <c r="R330" s="146">
        <v>0.03</v>
      </c>
      <c r="S330" s="146">
        <v>21.55</v>
      </c>
      <c r="T330" s="146">
        <v>1.51</v>
      </c>
    </row>
    <row r="331" spans="2:20" ht="18.75" customHeight="1">
      <c r="B331" s="146">
        <v>341</v>
      </c>
      <c r="C331" s="316" t="s">
        <v>307</v>
      </c>
      <c r="D331" s="316"/>
      <c r="E331" s="146">
        <v>100</v>
      </c>
      <c r="F331" s="146">
        <v>0.9</v>
      </c>
      <c r="G331" s="146">
        <v>0.2</v>
      </c>
      <c r="H331" s="146">
        <v>8.1</v>
      </c>
      <c r="I331" s="146">
        <v>35.799999999999997</v>
      </c>
      <c r="J331" s="146">
        <v>0.04</v>
      </c>
      <c r="K331" s="146">
        <v>0.03</v>
      </c>
      <c r="L331" s="146">
        <v>60</v>
      </c>
      <c r="M331" s="146">
        <v>0.01</v>
      </c>
      <c r="N331" s="146">
        <v>0.2</v>
      </c>
      <c r="O331" s="146">
        <v>34</v>
      </c>
      <c r="P331" s="146">
        <v>23</v>
      </c>
      <c r="Q331" s="146">
        <v>0.2</v>
      </c>
      <c r="R331" s="146">
        <v>0</v>
      </c>
      <c r="S331" s="146">
        <v>15</v>
      </c>
      <c r="T331" s="146">
        <v>0.3</v>
      </c>
    </row>
    <row r="332" spans="2:20">
      <c r="B332" s="146">
        <v>376</v>
      </c>
      <c r="C332" s="316" t="s">
        <v>57</v>
      </c>
      <c r="D332" s="316"/>
      <c r="E332" s="146">
        <v>200</v>
      </c>
      <c r="F332" s="146">
        <v>0.2</v>
      </c>
      <c r="G332" s="146">
        <v>0.05</v>
      </c>
      <c r="H332" s="146">
        <v>15.01</v>
      </c>
      <c r="I332" s="146">
        <v>61</v>
      </c>
      <c r="J332" s="146">
        <v>0</v>
      </c>
      <c r="K332" s="146">
        <v>0.01</v>
      </c>
      <c r="L332" s="146">
        <v>9</v>
      </c>
      <c r="M332" s="146">
        <v>1E-4</v>
      </c>
      <c r="N332" s="146">
        <v>4.4999999999999998E-2</v>
      </c>
      <c r="O332" s="146">
        <v>5.25</v>
      </c>
      <c r="P332" s="146">
        <v>8.24</v>
      </c>
      <c r="Q332" s="146">
        <v>8.0000000000000002E-3</v>
      </c>
      <c r="R332" s="146">
        <v>0</v>
      </c>
      <c r="S332" s="146">
        <v>4.4000000000000004</v>
      </c>
      <c r="T332" s="146">
        <v>0.87</v>
      </c>
    </row>
    <row r="333" spans="2:20" ht="18" customHeight="1">
      <c r="B333" s="146" t="s">
        <v>270</v>
      </c>
      <c r="C333" s="316" t="s">
        <v>329</v>
      </c>
      <c r="D333" s="316"/>
      <c r="E333" s="146">
        <v>40</v>
      </c>
      <c r="F333" s="146">
        <v>2.67</v>
      </c>
      <c r="G333" s="146">
        <v>0.53</v>
      </c>
      <c r="H333" s="146">
        <v>13.73</v>
      </c>
      <c r="I333" s="146">
        <v>70.400000000000006</v>
      </c>
      <c r="J333" s="146">
        <v>0.13</v>
      </c>
      <c r="K333" s="146">
        <v>1.2999999999999999E-2</v>
      </c>
      <c r="L333" s="146">
        <v>0.1</v>
      </c>
      <c r="M333" s="146">
        <v>0</v>
      </c>
      <c r="N333" s="146">
        <v>0.93</v>
      </c>
      <c r="O333" s="146">
        <v>14</v>
      </c>
      <c r="P333" s="146">
        <v>63.2</v>
      </c>
      <c r="Q333" s="146">
        <v>1.2999999999999999E-2</v>
      </c>
      <c r="R333" s="146">
        <v>1.2999999999999999E-2</v>
      </c>
      <c r="S333" s="146">
        <v>18.8</v>
      </c>
      <c r="T333" s="146">
        <v>1.6</v>
      </c>
    </row>
    <row r="334" spans="2:20">
      <c r="B334" s="317" t="s">
        <v>264</v>
      </c>
      <c r="C334" s="317"/>
      <c r="D334" s="317"/>
      <c r="E334" s="147">
        <f>SUM(E329:E333)</f>
        <v>560</v>
      </c>
      <c r="F334" s="147">
        <f t="shared" ref="F334:T334" si="92">SUM(F329:F333)</f>
        <v>24.71</v>
      </c>
      <c r="G334" s="147">
        <f t="shared" si="92"/>
        <v>26.580000000000002</v>
      </c>
      <c r="H334" s="147">
        <f t="shared" si="92"/>
        <v>41.86</v>
      </c>
      <c r="I334" s="147">
        <f t="shared" si="92"/>
        <v>503.20000000000005</v>
      </c>
      <c r="J334" s="147">
        <f t="shared" si="92"/>
        <v>0.30000000000000004</v>
      </c>
      <c r="K334" s="147">
        <f t="shared" si="92"/>
        <v>0.38300000000000001</v>
      </c>
      <c r="L334" s="147">
        <f t="shared" si="92"/>
        <v>69.56</v>
      </c>
      <c r="M334" s="147">
        <f t="shared" si="92"/>
        <v>9.6099999999999991E-2</v>
      </c>
      <c r="N334" s="147">
        <f t="shared" si="92"/>
        <v>3.2190000000000003</v>
      </c>
      <c r="O334" s="147">
        <f t="shared" si="92"/>
        <v>360.63</v>
      </c>
      <c r="P334" s="147">
        <f t="shared" si="92"/>
        <v>442.94</v>
      </c>
      <c r="Q334" s="147">
        <f t="shared" si="92"/>
        <v>2.3710000000000004</v>
      </c>
      <c r="R334" s="147">
        <f t="shared" si="92"/>
        <v>8.3000000000000004E-2</v>
      </c>
      <c r="S334" s="147">
        <f t="shared" si="92"/>
        <v>66.75</v>
      </c>
      <c r="T334" s="147">
        <f t="shared" si="92"/>
        <v>4.54</v>
      </c>
    </row>
    <row r="335" spans="2:20">
      <c r="B335" s="317" t="s">
        <v>265</v>
      </c>
      <c r="C335" s="317"/>
      <c r="D335" s="317"/>
      <c r="E335" s="317"/>
      <c r="F335" s="142">
        <f>F334/F352</f>
        <v>0.32090909090909092</v>
      </c>
      <c r="G335" s="142">
        <f t="shared" ref="G335:T335" si="93">G334/G352</f>
        <v>0.33645569620253168</v>
      </c>
      <c r="H335" s="142">
        <f t="shared" si="93"/>
        <v>0.12495522388059702</v>
      </c>
      <c r="I335" s="142">
        <f t="shared" si="93"/>
        <v>0.21412765957446811</v>
      </c>
      <c r="J335" s="142">
        <f t="shared" si="93"/>
        <v>0.25000000000000006</v>
      </c>
      <c r="K335" s="142">
        <f t="shared" si="93"/>
        <v>0.27357142857142858</v>
      </c>
      <c r="L335" s="145">
        <f t="shared" si="93"/>
        <v>1.1593333333333333</v>
      </c>
      <c r="M335" s="142">
        <f t="shared" si="93"/>
        <v>0.13728571428571429</v>
      </c>
      <c r="N335" s="142">
        <f t="shared" si="93"/>
        <v>0.32190000000000002</v>
      </c>
      <c r="O335" s="142">
        <f t="shared" si="93"/>
        <v>0.32784545454545455</v>
      </c>
      <c r="P335" s="142">
        <f t="shared" si="93"/>
        <v>0.40267272727272729</v>
      </c>
      <c r="Q335" s="142">
        <f t="shared" si="93"/>
        <v>0.23710000000000003</v>
      </c>
      <c r="R335" s="142">
        <f t="shared" si="93"/>
        <v>0.83</v>
      </c>
      <c r="S335" s="142">
        <f t="shared" si="93"/>
        <v>0.26700000000000002</v>
      </c>
      <c r="T335" s="142">
        <f t="shared" si="93"/>
        <v>0.37833333333333335</v>
      </c>
    </row>
    <row r="336" spans="2:20">
      <c r="B336" s="317" t="s">
        <v>266</v>
      </c>
      <c r="C336" s="317"/>
      <c r="D336" s="317"/>
      <c r="E336" s="317"/>
      <c r="F336" s="317"/>
      <c r="G336" s="317"/>
      <c r="H336" s="317"/>
      <c r="I336" s="317"/>
      <c r="J336" s="317"/>
      <c r="K336" s="317"/>
      <c r="L336" s="317"/>
      <c r="M336" s="317"/>
      <c r="N336" s="317"/>
      <c r="O336" s="317"/>
      <c r="P336" s="317"/>
      <c r="Q336" s="317"/>
      <c r="R336" s="317"/>
      <c r="S336" s="317"/>
      <c r="T336" s="317"/>
    </row>
    <row r="337" spans="2:20" ht="19.5" customHeight="1">
      <c r="B337" s="146">
        <v>115</v>
      </c>
      <c r="C337" s="316" t="s">
        <v>341</v>
      </c>
      <c r="D337" s="316"/>
      <c r="E337" s="146">
        <v>60</v>
      </c>
      <c r="F337" s="146">
        <v>1.1399999999999999</v>
      </c>
      <c r="G337" s="146">
        <v>5.34</v>
      </c>
      <c r="H337" s="146">
        <v>4.62</v>
      </c>
      <c r="I337" s="146">
        <v>71.400000000000006</v>
      </c>
      <c r="J337" s="146">
        <v>0.01</v>
      </c>
      <c r="K337" s="146">
        <v>0</v>
      </c>
      <c r="L337" s="146">
        <v>4.2</v>
      </c>
      <c r="M337" s="146">
        <v>0.01</v>
      </c>
      <c r="N337" s="146"/>
      <c r="O337" s="146">
        <v>24.6</v>
      </c>
      <c r="P337" s="146">
        <v>22.2</v>
      </c>
      <c r="Q337" s="146"/>
      <c r="R337" s="146">
        <v>0</v>
      </c>
      <c r="S337" s="146">
        <v>9</v>
      </c>
      <c r="T337" s="146">
        <v>0.42</v>
      </c>
    </row>
    <row r="338" spans="2:20" ht="17.25" customHeight="1">
      <c r="B338" s="180">
        <v>103</v>
      </c>
      <c r="C338" s="331" t="s">
        <v>347</v>
      </c>
      <c r="D338" s="331"/>
      <c r="E338" s="180">
        <v>200</v>
      </c>
      <c r="F338" s="180">
        <v>2.16</v>
      </c>
      <c r="G338" s="180">
        <v>2.8</v>
      </c>
      <c r="H338" s="180">
        <v>13.96</v>
      </c>
      <c r="I338" s="180">
        <v>94.6</v>
      </c>
      <c r="J338" s="180">
        <v>0.08</v>
      </c>
      <c r="K338" s="180">
        <v>0.04</v>
      </c>
      <c r="L338" s="180">
        <v>6.6</v>
      </c>
      <c r="M338" s="180">
        <v>0.08</v>
      </c>
      <c r="N338" s="180">
        <v>0</v>
      </c>
      <c r="O338" s="180">
        <v>23.36</v>
      </c>
      <c r="P338" s="180">
        <v>54.06</v>
      </c>
      <c r="Q338" s="180">
        <v>0</v>
      </c>
      <c r="R338" s="180">
        <v>0</v>
      </c>
      <c r="S338" s="180">
        <v>21.82</v>
      </c>
      <c r="T338" s="180">
        <v>0.9</v>
      </c>
    </row>
    <row r="339" spans="2:20" ht="28.5" customHeight="1">
      <c r="B339" s="146">
        <v>295</v>
      </c>
      <c r="C339" s="316" t="s">
        <v>181</v>
      </c>
      <c r="D339" s="316"/>
      <c r="E339" s="146">
        <v>90</v>
      </c>
      <c r="F339" s="146">
        <v>13.7</v>
      </c>
      <c r="G339" s="146">
        <v>5.2</v>
      </c>
      <c r="H339" s="146">
        <v>9.1</v>
      </c>
      <c r="I339" s="146">
        <v>138.41999999999999</v>
      </c>
      <c r="J339" s="146">
        <v>8.1000000000000003E-2</v>
      </c>
      <c r="K339" s="146">
        <v>7.0000000000000007E-2</v>
      </c>
      <c r="L339" s="146">
        <v>0.22</v>
      </c>
      <c r="M339" s="146">
        <v>8.9999999999999998E-4</v>
      </c>
      <c r="N339" s="146">
        <v>6.6600000000000006E-2</v>
      </c>
      <c r="O339" s="146">
        <v>12.6</v>
      </c>
      <c r="P339" s="146">
        <v>84.6</v>
      </c>
      <c r="Q339" s="146">
        <v>1.05</v>
      </c>
      <c r="R339" s="146">
        <v>3.5999999999999997E-2</v>
      </c>
      <c r="S339" s="146">
        <v>14.6</v>
      </c>
      <c r="T339" s="146">
        <v>1.7</v>
      </c>
    </row>
    <row r="340" spans="2:20" ht="26.25" customHeight="1">
      <c r="B340" s="146">
        <v>173</v>
      </c>
      <c r="C340" s="316" t="s">
        <v>319</v>
      </c>
      <c r="D340" s="316"/>
      <c r="E340" s="146">
        <v>150</v>
      </c>
      <c r="F340" s="146">
        <v>6.57</v>
      </c>
      <c r="G340" s="146">
        <v>4.1900000000000004</v>
      </c>
      <c r="H340" s="146">
        <v>32.32</v>
      </c>
      <c r="I340" s="146">
        <v>193.27</v>
      </c>
      <c r="J340" s="146">
        <v>0.06</v>
      </c>
      <c r="K340" s="146">
        <v>0.03</v>
      </c>
      <c r="L340" s="146">
        <v>0</v>
      </c>
      <c r="M340" s="146">
        <v>0.03</v>
      </c>
      <c r="N340" s="146">
        <v>2.5499999999999998</v>
      </c>
      <c r="O340" s="146">
        <v>18.12</v>
      </c>
      <c r="P340" s="146">
        <v>157.03</v>
      </c>
      <c r="Q340" s="146">
        <v>0.89</v>
      </c>
      <c r="R340" s="146">
        <v>1.4E-3</v>
      </c>
      <c r="S340" s="146">
        <v>104.45</v>
      </c>
      <c r="T340" s="146">
        <v>3.55</v>
      </c>
    </row>
    <row r="341" spans="2:20">
      <c r="B341" s="146">
        <v>389</v>
      </c>
      <c r="C341" s="316" t="s">
        <v>305</v>
      </c>
      <c r="D341" s="316"/>
      <c r="E341" s="146">
        <v>200</v>
      </c>
      <c r="F341" s="146">
        <v>1</v>
      </c>
      <c r="G341" s="146">
        <v>0.2</v>
      </c>
      <c r="H341" s="146">
        <v>20.2</v>
      </c>
      <c r="I341" s="146">
        <v>87</v>
      </c>
      <c r="J341" s="146">
        <v>0</v>
      </c>
      <c r="K341" s="146">
        <v>0.08</v>
      </c>
      <c r="L341" s="146">
        <v>4</v>
      </c>
      <c r="M341" s="146">
        <v>0</v>
      </c>
      <c r="N341" s="146">
        <v>0</v>
      </c>
      <c r="O341" s="146">
        <v>31.1</v>
      </c>
      <c r="P341" s="146">
        <v>18</v>
      </c>
      <c r="Q341" s="146">
        <v>0</v>
      </c>
      <c r="R341" s="146">
        <v>0</v>
      </c>
      <c r="S341" s="146">
        <v>8</v>
      </c>
      <c r="T341" s="146">
        <v>0.72</v>
      </c>
    </row>
    <row r="342" spans="2:20" ht="19.5" customHeight="1">
      <c r="B342" s="146" t="s">
        <v>270</v>
      </c>
      <c r="C342" s="316" t="s">
        <v>135</v>
      </c>
      <c r="D342" s="316"/>
      <c r="E342" s="146">
        <v>40</v>
      </c>
      <c r="F342" s="146">
        <v>2.64</v>
      </c>
      <c r="G342" s="146">
        <v>0.48</v>
      </c>
      <c r="H342" s="146">
        <v>13.68</v>
      </c>
      <c r="I342" s="146">
        <v>69.599999999999994</v>
      </c>
      <c r="J342" s="146">
        <v>0.08</v>
      </c>
      <c r="K342" s="146">
        <v>0.04</v>
      </c>
      <c r="L342" s="146">
        <v>0</v>
      </c>
      <c r="M342" s="146">
        <v>0</v>
      </c>
      <c r="N342" s="146">
        <v>2.4</v>
      </c>
      <c r="O342" s="146">
        <v>14</v>
      </c>
      <c r="P342" s="146">
        <v>63.2</v>
      </c>
      <c r="Q342" s="146">
        <v>1.2</v>
      </c>
      <c r="R342" s="146">
        <v>1E-3</v>
      </c>
      <c r="S342" s="146">
        <v>9.4</v>
      </c>
      <c r="T342" s="146">
        <v>0.78</v>
      </c>
    </row>
    <row r="343" spans="2:20">
      <c r="B343" s="146" t="s">
        <v>270</v>
      </c>
      <c r="C343" s="316" t="s">
        <v>35</v>
      </c>
      <c r="D343" s="316"/>
      <c r="E343" s="146">
        <v>30</v>
      </c>
      <c r="F343" s="146">
        <v>1.52</v>
      </c>
      <c r="G343" s="146">
        <v>0.16</v>
      </c>
      <c r="H343" s="146">
        <v>9.84</v>
      </c>
      <c r="I343" s="146">
        <v>46.9</v>
      </c>
      <c r="J343" s="146">
        <v>0.02</v>
      </c>
      <c r="K343" s="146">
        <v>0.01</v>
      </c>
      <c r="L343" s="146">
        <v>0.44</v>
      </c>
      <c r="M343" s="146">
        <v>0</v>
      </c>
      <c r="N343" s="146">
        <v>0.7</v>
      </c>
      <c r="O343" s="146">
        <v>4</v>
      </c>
      <c r="P343" s="146">
        <v>13</v>
      </c>
      <c r="Q343" s="146">
        <v>8.0000000000000002E-3</v>
      </c>
      <c r="R343" s="146">
        <v>1E-3</v>
      </c>
      <c r="S343" s="146">
        <v>0</v>
      </c>
      <c r="T343" s="146">
        <v>0.22</v>
      </c>
    </row>
    <row r="344" spans="2:20" ht="26.25" customHeight="1">
      <c r="B344" s="317" t="s">
        <v>271</v>
      </c>
      <c r="C344" s="317"/>
      <c r="D344" s="317"/>
      <c r="E344" s="147">
        <f>SUM(E337:E343)</f>
        <v>770</v>
      </c>
      <c r="F344" s="147">
        <f t="shared" ref="F344:T344" si="94">SUM(F337:F343)</f>
        <v>28.73</v>
      </c>
      <c r="G344" s="147">
        <f t="shared" si="94"/>
        <v>18.37</v>
      </c>
      <c r="H344" s="147">
        <f t="shared" si="94"/>
        <v>103.72</v>
      </c>
      <c r="I344" s="147">
        <f t="shared" si="94"/>
        <v>701.18999999999994</v>
      </c>
      <c r="J344" s="147">
        <f t="shared" si="94"/>
        <v>0.33100000000000002</v>
      </c>
      <c r="K344" s="147">
        <f t="shared" si="94"/>
        <v>0.27</v>
      </c>
      <c r="L344" s="147">
        <f t="shared" si="94"/>
        <v>15.46</v>
      </c>
      <c r="M344" s="147">
        <f t="shared" si="94"/>
        <v>0.12089999999999999</v>
      </c>
      <c r="N344" s="147">
        <f t="shared" si="94"/>
        <v>5.7166000000000006</v>
      </c>
      <c r="O344" s="147">
        <f t="shared" si="94"/>
        <v>127.78</v>
      </c>
      <c r="P344" s="147">
        <f t="shared" si="94"/>
        <v>412.09</v>
      </c>
      <c r="Q344" s="147">
        <f t="shared" si="94"/>
        <v>3.1479999999999997</v>
      </c>
      <c r="R344" s="147">
        <f t="shared" si="94"/>
        <v>3.9399999999999998E-2</v>
      </c>
      <c r="S344" s="147">
        <f t="shared" si="94"/>
        <v>167.27</v>
      </c>
      <c r="T344" s="147">
        <f t="shared" si="94"/>
        <v>8.2900000000000009</v>
      </c>
    </row>
    <row r="345" spans="2:20">
      <c r="B345" s="317" t="s">
        <v>265</v>
      </c>
      <c r="C345" s="317"/>
      <c r="D345" s="317"/>
      <c r="E345" s="317"/>
      <c r="F345" s="142">
        <f>F344/F352</f>
        <v>0.37311688311688312</v>
      </c>
      <c r="G345" s="142">
        <f t="shared" ref="G345:T345" si="95">G344/G352</f>
        <v>0.23253164556962028</v>
      </c>
      <c r="H345" s="142">
        <f t="shared" si="95"/>
        <v>0.30961194029850747</v>
      </c>
      <c r="I345" s="142">
        <f t="shared" si="95"/>
        <v>0.29837872340425531</v>
      </c>
      <c r="J345" s="142">
        <f t="shared" si="95"/>
        <v>0.27583333333333337</v>
      </c>
      <c r="K345" s="142">
        <f t="shared" si="95"/>
        <v>0.19285714285714289</v>
      </c>
      <c r="L345" s="142">
        <f t="shared" si="95"/>
        <v>0.25766666666666665</v>
      </c>
      <c r="M345" s="142">
        <f t="shared" si="95"/>
        <v>0.17271428571428571</v>
      </c>
      <c r="N345" s="142">
        <f t="shared" si="95"/>
        <v>0.57166000000000006</v>
      </c>
      <c r="O345" s="142">
        <f t="shared" si="95"/>
        <v>0.11616363636363636</v>
      </c>
      <c r="P345" s="142">
        <f t="shared" si="95"/>
        <v>0.3746272727272727</v>
      </c>
      <c r="Q345" s="142">
        <f t="shared" si="95"/>
        <v>0.31479999999999997</v>
      </c>
      <c r="R345" s="142">
        <f t="shared" si="95"/>
        <v>0.39399999999999996</v>
      </c>
      <c r="S345" s="142">
        <f t="shared" si="95"/>
        <v>0.66908000000000001</v>
      </c>
      <c r="T345" s="142">
        <f t="shared" si="95"/>
        <v>0.69083333333333341</v>
      </c>
    </row>
    <row r="346" spans="2:20">
      <c r="B346" s="323" t="s">
        <v>272</v>
      </c>
      <c r="C346" s="323"/>
      <c r="D346" s="323"/>
      <c r="E346" s="323"/>
      <c r="F346" s="323"/>
      <c r="G346" s="323"/>
      <c r="H346" s="323"/>
      <c r="I346" s="323"/>
      <c r="J346" s="323"/>
      <c r="K346" s="323"/>
      <c r="L346" s="323"/>
      <c r="M346" s="323"/>
      <c r="N346" s="323"/>
      <c r="O346" s="323"/>
      <c r="P346" s="323"/>
      <c r="Q346" s="323"/>
      <c r="R346" s="323"/>
      <c r="S346" s="323"/>
      <c r="T346" s="323"/>
    </row>
    <row r="347" spans="2:20" ht="15" customHeight="1">
      <c r="B347" s="153" t="s">
        <v>270</v>
      </c>
      <c r="C347" s="315" t="s">
        <v>402</v>
      </c>
      <c r="D347" s="315"/>
      <c r="E347" s="153">
        <v>80</v>
      </c>
      <c r="F347" s="153">
        <v>5.95</v>
      </c>
      <c r="G347" s="153">
        <v>6.05</v>
      </c>
      <c r="H347" s="153">
        <v>38.22</v>
      </c>
      <c r="I347" s="153">
        <v>231.11</v>
      </c>
      <c r="J347" s="153">
        <v>0.06</v>
      </c>
      <c r="K347" s="153">
        <v>0.06</v>
      </c>
      <c r="L347" s="153">
        <v>0.02</v>
      </c>
      <c r="M347" s="153">
        <v>0.06</v>
      </c>
      <c r="N347" s="153"/>
      <c r="O347" s="153">
        <v>19.489999999999998</v>
      </c>
      <c r="P347" s="153">
        <v>55.89</v>
      </c>
      <c r="Q347" s="153"/>
      <c r="R347" s="153">
        <v>0</v>
      </c>
      <c r="S347" s="153">
        <v>8.27</v>
      </c>
      <c r="T347" s="153">
        <v>0.7</v>
      </c>
    </row>
    <row r="348" spans="2:20" ht="15" customHeight="1">
      <c r="B348" s="153">
        <v>377</v>
      </c>
      <c r="C348" s="315" t="s">
        <v>70</v>
      </c>
      <c r="D348" s="315"/>
      <c r="E348" s="153" t="s">
        <v>72</v>
      </c>
      <c r="F348" s="153">
        <v>0.26</v>
      </c>
      <c r="G348" s="153">
        <v>0.06</v>
      </c>
      <c r="H348" s="153">
        <v>15.22</v>
      </c>
      <c r="I348" s="153">
        <v>62.5</v>
      </c>
      <c r="J348" s="153"/>
      <c r="K348" s="153">
        <v>0.01</v>
      </c>
      <c r="L348" s="153">
        <v>2.9</v>
      </c>
      <c r="M348" s="153">
        <v>0</v>
      </c>
      <c r="N348" s="153">
        <v>0.06</v>
      </c>
      <c r="O348" s="153">
        <v>8.0500000000000007</v>
      </c>
      <c r="P348" s="153">
        <v>9.7799999999999994</v>
      </c>
      <c r="Q348" s="153">
        <v>1.7000000000000001E-2</v>
      </c>
      <c r="R348" s="153">
        <v>0</v>
      </c>
      <c r="S348" s="153">
        <v>5.24</v>
      </c>
      <c r="T348" s="153">
        <v>0.87</v>
      </c>
    </row>
    <row r="349" spans="2:20">
      <c r="B349" s="312" t="s">
        <v>274</v>
      </c>
      <c r="C349" s="313"/>
      <c r="D349" s="314"/>
      <c r="E349" s="164">
        <f>E347+204</f>
        <v>284</v>
      </c>
      <c r="F349" s="164">
        <f>SUM(F347:F348)</f>
        <v>6.21</v>
      </c>
      <c r="G349" s="164">
        <f t="shared" ref="G349:T349" si="96">SUM(G347:G348)</f>
        <v>6.1099999999999994</v>
      </c>
      <c r="H349" s="164">
        <f t="shared" ref="H349" si="97">SUM(H347:H348)</f>
        <v>53.44</v>
      </c>
      <c r="I349" s="164">
        <f t="shared" ref="I349" si="98">SUM(I347:I348)</f>
        <v>293.61</v>
      </c>
      <c r="J349" s="164">
        <f t="shared" ref="J349" si="99">SUM(J347:J348)</f>
        <v>0.06</v>
      </c>
      <c r="K349" s="164">
        <f t="shared" ref="K349" si="100">SUM(K347:K348)</f>
        <v>6.9999999999999993E-2</v>
      </c>
      <c r="L349" s="164">
        <f t="shared" si="96"/>
        <v>2.92</v>
      </c>
      <c r="M349" s="164">
        <f t="shared" si="96"/>
        <v>0.06</v>
      </c>
      <c r="N349" s="164">
        <f t="shared" si="96"/>
        <v>0.06</v>
      </c>
      <c r="O349" s="164">
        <f t="shared" si="96"/>
        <v>27.54</v>
      </c>
      <c r="P349" s="164">
        <f t="shared" si="96"/>
        <v>65.67</v>
      </c>
      <c r="Q349" s="164">
        <f t="shared" si="96"/>
        <v>1.7000000000000001E-2</v>
      </c>
      <c r="R349" s="164">
        <f t="shared" si="96"/>
        <v>0</v>
      </c>
      <c r="S349" s="164">
        <f t="shared" si="96"/>
        <v>13.51</v>
      </c>
      <c r="T349" s="164">
        <f t="shared" si="96"/>
        <v>1.5699999999999998</v>
      </c>
    </row>
    <row r="350" spans="2:20" ht="15" customHeight="1">
      <c r="B350" s="311" t="s">
        <v>265</v>
      </c>
      <c r="C350" s="311"/>
      <c r="D350" s="311"/>
      <c r="E350" s="311"/>
      <c r="F350" s="172">
        <f>F349/F352</f>
        <v>8.0649350649350651E-2</v>
      </c>
      <c r="G350" s="172">
        <f t="shared" ref="G350:T350" si="101">G349/G352</f>
        <v>7.7341772151898733E-2</v>
      </c>
      <c r="H350" s="172">
        <f t="shared" ref="H350" si="102">H349/H352</f>
        <v>0.15952238805970148</v>
      </c>
      <c r="I350" s="172">
        <f t="shared" ref="I350" si="103">I349/I352</f>
        <v>0.12494042553191489</v>
      </c>
      <c r="J350" s="172">
        <f t="shared" ref="J350" si="104">J349/J352</f>
        <v>0.05</v>
      </c>
      <c r="K350" s="172">
        <f t="shared" ref="K350" si="105">K349/K352</f>
        <v>4.9999999999999996E-2</v>
      </c>
      <c r="L350" s="172">
        <f t="shared" si="101"/>
        <v>4.8666666666666664E-2</v>
      </c>
      <c r="M350" s="172">
        <f t="shared" si="101"/>
        <v>8.5714285714285715E-2</v>
      </c>
      <c r="N350" s="172">
        <f t="shared" si="101"/>
        <v>6.0000000000000001E-3</v>
      </c>
      <c r="O350" s="172">
        <f t="shared" si="101"/>
        <v>2.5036363636363634E-2</v>
      </c>
      <c r="P350" s="172">
        <f t="shared" si="101"/>
        <v>5.9700000000000003E-2</v>
      </c>
      <c r="Q350" s="172">
        <f t="shared" si="101"/>
        <v>1.7000000000000001E-3</v>
      </c>
      <c r="R350" s="172">
        <f t="shared" si="101"/>
        <v>0</v>
      </c>
      <c r="S350" s="172">
        <f t="shared" si="101"/>
        <v>5.4039999999999998E-2</v>
      </c>
      <c r="T350" s="172">
        <f t="shared" si="101"/>
        <v>0.13083333333333333</v>
      </c>
    </row>
    <row r="351" spans="2:20" ht="15" customHeight="1">
      <c r="B351" s="311" t="s">
        <v>275</v>
      </c>
      <c r="C351" s="311"/>
      <c r="D351" s="311"/>
      <c r="E351" s="311"/>
      <c r="F351" s="164">
        <f>F349+F344+F334</f>
        <v>59.65</v>
      </c>
      <c r="G351" s="164">
        <f t="shared" ref="G351:T351" si="106">G349+G344+G334</f>
        <v>51.06</v>
      </c>
      <c r="H351" s="164">
        <f t="shared" si="106"/>
        <v>199.01999999999998</v>
      </c>
      <c r="I351" s="164">
        <f t="shared" si="106"/>
        <v>1498</v>
      </c>
      <c r="J351" s="164">
        <f t="shared" si="106"/>
        <v>0.69100000000000006</v>
      </c>
      <c r="K351" s="164">
        <f t="shared" si="106"/>
        <v>0.72300000000000009</v>
      </c>
      <c r="L351" s="164">
        <f t="shared" si="106"/>
        <v>87.94</v>
      </c>
      <c r="M351" s="164">
        <f t="shared" si="106"/>
        <v>0.27700000000000002</v>
      </c>
      <c r="N351" s="164">
        <f t="shared" si="106"/>
        <v>8.9955999999999996</v>
      </c>
      <c r="O351" s="164">
        <f t="shared" si="106"/>
        <v>515.95000000000005</v>
      </c>
      <c r="P351" s="164">
        <f t="shared" si="106"/>
        <v>920.7</v>
      </c>
      <c r="Q351" s="164">
        <f t="shared" si="106"/>
        <v>5.5359999999999996</v>
      </c>
      <c r="R351" s="164">
        <f t="shared" si="106"/>
        <v>0.12240000000000001</v>
      </c>
      <c r="S351" s="164">
        <f t="shared" si="106"/>
        <v>247.53</v>
      </c>
      <c r="T351" s="164">
        <f t="shared" si="106"/>
        <v>14.400000000000002</v>
      </c>
    </row>
    <row r="352" spans="2:20" ht="15" customHeight="1">
      <c r="B352" s="311" t="s">
        <v>276</v>
      </c>
      <c r="C352" s="311"/>
      <c r="D352" s="311"/>
      <c r="E352" s="311"/>
      <c r="F352" s="146">
        <v>77</v>
      </c>
      <c r="G352" s="146">
        <v>79</v>
      </c>
      <c r="H352" s="146">
        <v>335</v>
      </c>
      <c r="I352" s="146">
        <v>2350</v>
      </c>
      <c r="J352" s="146">
        <v>1.2</v>
      </c>
      <c r="K352" s="146">
        <v>1.4</v>
      </c>
      <c r="L352" s="146">
        <v>60</v>
      </c>
      <c r="M352" s="146">
        <v>0.7</v>
      </c>
      <c r="N352" s="146">
        <v>10</v>
      </c>
      <c r="O352" s="146">
        <v>1100</v>
      </c>
      <c r="P352" s="146">
        <v>1100</v>
      </c>
      <c r="Q352" s="146">
        <v>10</v>
      </c>
      <c r="R352" s="146">
        <v>0.1</v>
      </c>
      <c r="S352" s="146">
        <v>250</v>
      </c>
      <c r="T352" s="146">
        <v>12</v>
      </c>
    </row>
    <row r="353" spans="2:20" ht="15" customHeight="1">
      <c r="B353" s="311" t="s">
        <v>265</v>
      </c>
      <c r="C353" s="311"/>
      <c r="D353" s="311"/>
      <c r="E353" s="311"/>
      <c r="F353" s="172">
        <f>F351/F352</f>
        <v>0.77467532467532463</v>
      </c>
      <c r="G353" s="172">
        <f t="shared" ref="G353" si="107">G351/G352</f>
        <v>0.64632911392405068</v>
      </c>
      <c r="H353" s="172">
        <f t="shared" ref="H353" si="108">H351/H352</f>
        <v>0.59408955223880588</v>
      </c>
      <c r="I353" s="172">
        <f t="shared" ref="I353" si="109">I351/I352</f>
        <v>0.63744680851063829</v>
      </c>
      <c r="J353" s="172">
        <f t="shared" ref="J353" si="110">J351/J352</f>
        <v>0.57583333333333342</v>
      </c>
      <c r="K353" s="172">
        <f t="shared" ref="K353" si="111">K351/K352</f>
        <v>0.51642857142857157</v>
      </c>
      <c r="L353" s="172">
        <f t="shared" ref="L353" si="112">L351/L352</f>
        <v>1.4656666666666667</v>
      </c>
      <c r="M353" s="172">
        <f t="shared" ref="M353" si="113">M351/M352</f>
        <v>0.3957142857142858</v>
      </c>
      <c r="N353" s="172">
        <f t="shared" ref="N353" si="114">N351/N352</f>
        <v>0.89955999999999992</v>
      </c>
      <c r="O353" s="172">
        <f t="shared" ref="O353" si="115">O351/O352</f>
        <v>0.4690454545454546</v>
      </c>
      <c r="P353" s="172">
        <f t="shared" ref="P353" si="116">P351/P352</f>
        <v>0.83700000000000008</v>
      </c>
      <c r="Q353" s="172">
        <f t="shared" ref="Q353" si="117">Q351/Q352</f>
        <v>0.55359999999999998</v>
      </c>
      <c r="R353" s="172">
        <f t="shared" ref="R353" si="118">R351/R352</f>
        <v>1.224</v>
      </c>
      <c r="S353" s="172">
        <f t="shared" ref="S353" si="119">S351/S352</f>
        <v>0.99012</v>
      </c>
      <c r="T353" s="172">
        <f t="shared" ref="T353" si="120">T351/T352</f>
        <v>1.2000000000000002</v>
      </c>
    </row>
    <row r="354" spans="2:20">
      <c r="B354" s="311" t="s">
        <v>412</v>
      </c>
      <c r="C354" s="311"/>
      <c r="D354" s="311"/>
      <c r="E354" s="311"/>
      <c r="F354" s="174">
        <f>(F196+F231+F265+F301+F334)/5</f>
        <v>20.060000000000002</v>
      </c>
      <c r="G354" s="174">
        <f t="shared" ref="G354:T354" si="121">(G196+G231+G265+G301+G334)/5</f>
        <v>20.696000000000002</v>
      </c>
      <c r="H354" s="174">
        <f t="shared" si="121"/>
        <v>78.358000000000004</v>
      </c>
      <c r="I354" s="174">
        <f t="shared" si="121"/>
        <v>567.36800000000005</v>
      </c>
      <c r="J354" s="174">
        <f t="shared" si="121"/>
        <v>0.28960000000000002</v>
      </c>
      <c r="K354" s="174">
        <f t="shared" si="121"/>
        <v>0.31380000000000002</v>
      </c>
      <c r="L354" s="174">
        <f t="shared" si="121"/>
        <v>39.787999999999997</v>
      </c>
      <c r="M354" s="174">
        <f t="shared" si="121"/>
        <v>0.29426000000000008</v>
      </c>
      <c r="N354" s="174">
        <f t="shared" si="121"/>
        <v>3.2497999999999996</v>
      </c>
      <c r="O354" s="174">
        <f t="shared" si="121"/>
        <v>258.072</v>
      </c>
      <c r="P354" s="174">
        <f t="shared" si="121"/>
        <v>382.25600000000003</v>
      </c>
      <c r="Q354" s="174">
        <f t="shared" si="121"/>
        <v>2.0654000000000003</v>
      </c>
      <c r="R354" s="174">
        <f t="shared" si="121"/>
        <v>4.4000000000000004E-2</v>
      </c>
      <c r="S354" s="174">
        <f t="shared" si="121"/>
        <v>78.783999999999992</v>
      </c>
      <c r="T354" s="174">
        <f t="shared" si="121"/>
        <v>4.32</v>
      </c>
    </row>
    <row r="355" spans="2:20">
      <c r="B355" s="311" t="s">
        <v>276</v>
      </c>
      <c r="C355" s="311"/>
      <c r="D355" s="311"/>
      <c r="E355" s="311"/>
      <c r="F355" s="146">
        <v>77</v>
      </c>
      <c r="G355" s="146">
        <v>79</v>
      </c>
      <c r="H355" s="146">
        <v>335</v>
      </c>
      <c r="I355" s="146">
        <v>2350</v>
      </c>
      <c r="J355" s="146">
        <v>1.2</v>
      </c>
      <c r="K355" s="146">
        <v>1.4</v>
      </c>
      <c r="L355" s="146">
        <v>60</v>
      </c>
      <c r="M355" s="146">
        <v>0.7</v>
      </c>
      <c r="N355" s="146">
        <v>10</v>
      </c>
      <c r="O355" s="146">
        <v>1100</v>
      </c>
      <c r="P355" s="146">
        <v>1100</v>
      </c>
      <c r="Q355" s="146">
        <v>10</v>
      </c>
      <c r="R355" s="146">
        <v>0.1</v>
      </c>
      <c r="S355" s="146">
        <v>250</v>
      </c>
      <c r="T355" s="146">
        <v>12</v>
      </c>
    </row>
    <row r="356" spans="2:20">
      <c r="B356" s="311" t="s">
        <v>265</v>
      </c>
      <c r="C356" s="311"/>
      <c r="D356" s="311"/>
      <c r="E356" s="311"/>
      <c r="F356" s="172">
        <f>F354/F355</f>
        <v>0.26051948051948054</v>
      </c>
      <c r="G356" s="172">
        <f t="shared" ref="G356" si="122">G354/G355</f>
        <v>0.26197468354430381</v>
      </c>
      <c r="H356" s="172">
        <f t="shared" ref="H356" si="123">H354/H355</f>
        <v>0.2339044776119403</v>
      </c>
      <c r="I356" s="172">
        <f t="shared" ref="I356" si="124">I354/I355</f>
        <v>0.24143319148936174</v>
      </c>
      <c r="J356" s="172">
        <f t="shared" ref="J356" si="125">J354/J355</f>
        <v>0.24133333333333337</v>
      </c>
      <c r="K356" s="172">
        <f t="shared" ref="K356" si="126">K354/K355</f>
        <v>0.22414285714285717</v>
      </c>
      <c r="L356" s="172">
        <f t="shared" ref="L356" si="127">L354/L355</f>
        <v>0.66313333333333324</v>
      </c>
      <c r="M356" s="172">
        <f t="shared" ref="M356" si="128">M354/M355</f>
        <v>0.42037142857142873</v>
      </c>
      <c r="N356" s="172">
        <f t="shared" ref="N356" si="129">N354/N355</f>
        <v>0.32497999999999994</v>
      </c>
      <c r="O356" s="172">
        <f t="shared" ref="O356" si="130">O354/O355</f>
        <v>0.23461090909090909</v>
      </c>
      <c r="P356" s="172">
        <f t="shared" ref="P356" si="131">P354/P355</f>
        <v>0.34750545454545456</v>
      </c>
      <c r="Q356" s="172">
        <f t="shared" ref="Q356" si="132">Q354/Q355</f>
        <v>0.20654000000000003</v>
      </c>
      <c r="R356" s="172">
        <f t="shared" ref="R356" si="133">R354/R355</f>
        <v>0.44</v>
      </c>
      <c r="S356" s="172">
        <f t="shared" ref="S356" si="134">S354/S355</f>
        <v>0.31513599999999997</v>
      </c>
      <c r="T356" s="172">
        <f t="shared" ref="T356" si="135">T354/T355</f>
        <v>0.36000000000000004</v>
      </c>
    </row>
    <row r="357" spans="2:20">
      <c r="B357" s="311" t="s">
        <v>411</v>
      </c>
      <c r="C357" s="311"/>
      <c r="D357" s="311"/>
      <c r="E357" s="311"/>
      <c r="F357" s="174">
        <f>(F334+F311+F275+F241+F207)/5</f>
        <v>28.170999999999999</v>
      </c>
      <c r="G357" s="174">
        <f t="shared" ref="G357:I357" si="136">(G334+G311+G275+G241+G207)/5</f>
        <v>26.238199999999999</v>
      </c>
      <c r="H357" s="174">
        <f t="shared" si="136"/>
        <v>74.613799999999998</v>
      </c>
      <c r="I357" s="174">
        <f t="shared" si="136"/>
        <v>646.2700000000001</v>
      </c>
      <c r="J357" s="174">
        <f t="shared" ref="J357:T357" si="137">(J334+J311+J275+J241+J207)/5</f>
        <v>0.51459999999999995</v>
      </c>
      <c r="K357" s="174">
        <f t="shared" si="137"/>
        <v>0.39839999999999998</v>
      </c>
      <c r="L357" s="174">
        <f t="shared" si="137"/>
        <v>38.236599999999996</v>
      </c>
      <c r="M357" s="174">
        <f t="shared" si="137"/>
        <v>0.70104</v>
      </c>
      <c r="N357" s="174">
        <f t="shared" si="137"/>
        <v>4.5243000000000002</v>
      </c>
      <c r="O357" s="174">
        <f t="shared" si="137"/>
        <v>185.46359999999999</v>
      </c>
      <c r="P357" s="174">
        <f t="shared" si="137"/>
        <v>316.09620000000001</v>
      </c>
      <c r="Q357" s="174">
        <f t="shared" si="137"/>
        <v>2.6734</v>
      </c>
      <c r="R357" s="174">
        <f t="shared" si="137"/>
        <v>2.6800000000000001E-2</v>
      </c>
      <c r="S357" s="174">
        <f t="shared" si="137"/>
        <v>85.339399999999998</v>
      </c>
      <c r="T357" s="174">
        <f t="shared" si="137"/>
        <v>5.8319999999999999</v>
      </c>
    </row>
    <row r="358" spans="2:20">
      <c r="B358" s="311" t="s">
        <v>276</v>
      </c>
      <c r="C358" s="311"/>
      <c r="D358" s="311"/>
      <c r="E358" s="311"/>
      <c r="F358" s="146">
        <v>77</v>
      </c>
      <c r="G358" s="146">
        <v>79</v>
      </c>
      <c r="H358" s="146">
        <v>335</v>
      </c>
      <c r="I358" s="146">
        <v>2350</v>
      </c>
      <c r="J358" s="146">
        <v>1.2</v>
      </c>
      <c r="K358" s="146">
        <v>1.4</v>
      </c>
      <c r="L358" s="146">
        <v>60</v>
      </c>
      <c r="M358" s="146">
        <v>0.7</v>
      </c>
      <c r="N358" s="146">
        <v>10</v>
      </c>
      <c r="O358" s="146">
        <v>1100</v>
      </c>
      <c r="P358" s="146">
        <v>1100</v>
      </c>
      <c r="Q358" s="146">
        <v>10</v>
      </c>
      <c r="R358" s="146">
        <v>0.1</v>
      </c>
      <c r="S358" s="146">
        <v>250</v>
      </c>
      <c r="T358" s="146">
        <v>12</v>
      </c>
    </row>
    <row r="359" spans="2:20">
      <c r="B359" s="311" t="s">
        <v>265</v>
      </c>
      <c r="C359" s="311"/>
      <c r="D359" s="311"/>
      <c r="E359" s="311"/>
      <c r="F359" s="172">
        <f>F357/F358</f>
        <v>0.36585714285714283</v>
      </c>
      <c r="G359" s="172">
        <f t="shared" ref="G359:J359" si="138">G357/G358</f>
        <v>0.33212911392405065</v>
      </c>
      <c r="H359" s="172">
        <f t="shared" si="138"/>
        <v>0.22272776119402984</v>
      </c>
      <c r="I359" s="172">
        <f t="shared" si="138"/>
        <v>0.2750085106382979</v>
      </c>
      <c r="J359" s="172">
        <f t="shared" si="138"/>
        <v>0.42883333333333329</v>
      </c>
      <c r="K359" s="172">
        <f t="shared" ref="K359:T359" si="139">K357/K358</f>
        <v>0.28457142857142859</v>
      </c>
      <c r="L359" s="172">
        <f t="shared" si="139"/>
        <v>0.6372766666666666</v>
      </c>
      <c r="M359" s="172">
        <f t="shared" si="139"/>
        <v>1.0014857142857143</v>
      </c>
      <c r="N359" s="172">
        <f t="shared" si="139"/>
        <v>0.45243</v>
      </c>
      <c r="O359" s="172">
        <f t="shared" si="139"/>
        <v>0.16860327272727271</v>
      </c>
      <c r="P359" s="172">
        <f t="shared" si="139"/>
        <v>0.28736018181818185</v>
      </c>
      <c r="Q359" s="172">
        <f t="shared" si="139"/>
        <v>0.26734000000000002</v>
      </c>
      <c r="R359" s="172">
        <f t="shared" si="139"/>
        <v>0.26800000000000002</v>
      </c>
      <c r="S359" s="172">
        <f t="shared" si="139"/>
        <v>0.34135759999999998</v>
      </c>
      <c r="T359" s="172">
        <f t="shared" si="139"/>
        <v>0.48599999999999999</v>
      </c>
    </row>
    <row r="360" spans="2:20">
      <c r="B360" s="311" t="s">
        <v>413</v>
      </c>
      <c r="C360" s="311"/>
      <c r="D360" s="311"/>
      <c r="E360" s="311"/>
      <c r="F360" s="174">
        <f>(F212+F246+F280+F316+F349)/5</f>
        <v>7.58</v>
      </c>
      <c r="G360" s="174">
        <f t="shared" ref="G360:J360" si="140">(G212+G246+G280+G316+G349)/5</f>
        <v>6.3959999999999999</v>
      </c>
      <c r="H360" s="174">
        <f t="shared" si="140"/>
        <v>62.519999999999996</v>
      </c>
      <c r="I360" s="174">
        <f t="shared" si="140"/>
        <v>337.46400000000006</v>
      </c>
      <c r="J360" s="174">
        <f t="shared" si="140"/>
        <v>8.4000000000000005E-2</v>
      </c>
      <c r="K360" s="174">
        <f t="shared" ref="K360:T360" si="141">(K212+K246+K280+K316+K349)/5</f>
        <v>8.199999999999999E-2</v>
      </c>
      <c r="L360" s="174">
        <f t="shared" si="141"/>
        <v>2.504</v>
      </c>
      <c r="M360" s="174">
        <f t="shared" si="141"/>
        <v>8.4020000000000011E-2</v>
      </c>
      <c r="N360" s="174">
        <f t="shared" si="141"/>
        <v>2.0999999999999998E-2</v>
      </c>
      <c r="O360" s="174">
        <f t="shared" si="141"/>
        <v>40.238000000000007</v>
      </c>
      <c r="P360" s="174">
        <f t="shared" si="141"/>
        <v>57.04</v>
      </c>
      <c r="Q360" s="174">
        <f t="shared" si="141"/>
        <v>5.0000000000000001E-3</v>
      </c>
      <c r="R360" s="174">
        <f t="shared" si="141"/>
        <v>0</v>
      </c>
      <c r="S360" s="174">
        <f t="shared" si="141"/>
        <v>15.594000000000003</v>
      </c>
      <c r="T360" s="174">
        <f t="shared" si="141"/>
        <v>1.5080000000000002</v>
      </c>
    </row>
    <row r="361" spans="2:20">
      <c r="B361" s="311" t="s">
        <v>276</v>
      </c>
      <c r="C361" s="311"/>
      <c r="D361" s="311"/>
      <c r="E361" s="311"/>
      <c r="F361" s="146">
        <v>77</v>
      </c>
      <c r="G361" s="146">
        <v>79</v>
      </c>
      <c r="H361" s="146">
        <v>335</v>
      </c>
      <c r="I361" s="146">
        <v>2350</v>
      </c>
      <c r="J361" s="146">
        <v>1.2</v>
      </c>
      <c r="K361" s="146">
        <v>1.4</v>
      </c>
      <c r="L361" s="146">
        <v>60</v>
      </c>
      <c r="M361" s="146">
        <v>0.7</v>
      </c>
      <c r="N361" s="146">
        <v>10</v>
      </c>
      <c r="O361" s="146">
        <v>1100</v>
      </c>
      <c r="P361" s="146">
        <v>1100</v>
      </c>
      <c r="Q361" s="146">
        <v>10</v>
      </c>
      <c r="R361" s="146">
        <v>0.1</v>
      </c>
      <c r="S361" s="146">
        <v>250</v>
      </c>
      <c r="T361" s="146">
        <v>12</v>
      </c>
    </row>
    <row r="362" spans="2:20">
      <c r="B362" s="311" t="s">
        <v>265</v>
      </c>
      <c r="C362" s="311"/>
      <c r="D362" s="311"/>
      <c r="E362" s="311"/>
      <c r="F362" s="172">
        <f>F360/F361</f>
        <v>9.8441558441558441E-2</v>
      </c>
      <c r="G362" s="172">
        <f t="shared" ref="G362:K362" si="142">G360/G361</f>
        <v>8.0962025316455702E-2</v>
      </c>
      <c r="H362" s="172">
        <f t="shared" si="142"/>
        <v>0.18662686567164177</v>
      </c>
      <c r="I362" s="172">
        <f t="shared" si="142"/>
        <v>0.1436017021276596</v>
      </c>
      <c r="J362" s="172">
        <f t="shared" si="142"/>
        <v>7.0000000000000007E-2</v>
      </c>
      <c r="K362" s="172">
        <f t="shared" si="142"/>
        <v>5.8571428571428566E-2</v>
      </c>
      <c r="L362" s="172">
        <f t="shared" ref="L362:T362" si="143">L360/L361</f>
        <v>4.1733333333333331E-2</v>
      </c>
      <c r="M362" s="172">
        <f t="shared" si="143"/>
        <v>0.12002857142857146</v>
      </c>
      <c r="N362" s="172">
        <f t="shared" si="143"/>
        <v>2.0999999999999999E-3</v>
      </c>
      <c r="O362" s="172">
        <f t="shared" si="143"/>
        <v>3.6580000000000008E-2</v>
      </c>
      <c r="P362" s="172">
        <f t="shared" si="143"/>
        <v>5.1854545454545452E-2</v>
      </c>
      <c r="Q362" s="172">
        <f t="shared" si="143"/>
        <v>5.0000000000000001E-4</v>
      </c>
      <c r="R362" s="172">
        <f t="shared" si="143"/>
        <v>0</v>
      </c>
      <c r="S362" s="172">
        <f t="shared" si="143"/>
        <v>6.2376000000000015E-2</v>
      </c>
      <c r="T362" s="172">
        <f t="shared" si="143"/>
        <v>0.12566666666666668</v>
      </c>
    </row>
    <row r="363" spans="2:20">
      <c r="B363" s="311" t="s">
        <v>414</v>
      </c>
      <c r="C363" s="311"/>
      <c r="D363" s="311"/>
      <c r="E363" s="311"/>
      <c r="F363" s="174">
        <f>F354+F357+F360</f>
        <v>55.811</v>
      </c>
      <c r="G363" s="174">
        <f t="shared" ref="G363:K363" si="144">G354+G357+G360</f>
        <v>53.330200000000005</v>
      </c>
      <c r="H363" s="174">
        <f t="shared" si="144"/>
        <v>215.49180000000001</v>
      </c>
      <c r="I363" s="174">
        <f t="shared" si="144"/>
        <v>1551.1020000000003</v>
      </c>
      <c r="J363" s="174">
        <f t="shared" si="144"/>
        <v>0.88819999999999999</v>
      </c>
      <c r="K363" s="174">
        <f t="shared" si="144"/>
        <v>0.79419999999999991</v>
      </c>
      <c r="L363" s="174">
        <f t="shared" ref="L363:T363" si="145">L354+L357+L360</f>
        <v>80.528599999999997</v>
      </c>
      <c r="M363" s="174">
        <f t="shared" si="145"/>
        <v>1.0793200000000001</v>
      </c>
      <c r="N363" s="174">
        <f t="shared" si="145"/>
        <v>7.7950999999999997</v>
      </c>
      <c r="O363" s="174">
        <f t="shared" si="145"/>
        <v>483.77359999999999</v>
      </c>
      <c r="P363" s="174">
        <f t="shared" si="145"/>
        <v>755.3922</v>
      </c>
      <c r="Q363" s="174">
        <f t="shared" si="145"/>
        <v>4.7438000000000002</v>
      </c>
      <c r="R363" s="174">
        <f t="shared" si="145"/>
        <v>7.0800000000000002E-2</v>
      </c>
      <c r="S363" s="174">
        <f t="shared" si="145"/>
        <v>179.7174</v>
      </c>
      <c r="T363" s="174">
        <f t="shared" si="145"/>
        <v>11.660000000000002</v>
      </c>
    </row>
    <row r="364" spans="2:20">
      <c r="B364" s="311" t="s">
        <v>276</v>
      </c>
      <c r="C364" s="311"/>
      <c r="D364" s="311"/>
      <c r="E364" s="311"/>
      <c r="F364" s="146">
        <v>77</v>
      </c>
      <c r="G364" s="146">
        <v>79</v>
      </c>
      <c r="H364" s="146">
        <v>335</v>
      </c>
      <c r="I364" s="146">
        <v>2350</v>
      </c>
      <c r="J364" s="146">
        <v>1.2</v>
      </c>
      <c r="K364" s="146">
        <v>1.4</v>
      </c>
      <c r="L364" s="146">
        <v>60</v>
      </c>
      <c r="M364" s="146">
        <v>0.7</v>
      </c>
      <c r="N364" s="146">
        <v>10</v>
      </c>
      <c r="O364" s="146">
        <v>1100</v>
      </c>
      <c r="P364" s="146">
        <v>1100</v>
      </c>
      <c r="Q364" s="146">
        <v>10</v>
      </c>
      <c r="R364" s="146">
        <v>0.1</v>
      </c>
      <c r="S364" s="146">
        <v>250</v>
      </c>
      <c r="T364" s="146">
        <v>12</v>
      </c>
    </row>
    <row r="365" spans="2:20">
      <c r="B365" s="311" t="s">
        <v>265</v>
      </c>
      <c r="C365" s="311"/>
      <c r="D365" s="311"/>
      <c r="E365" s="311"/>
      <c r="F365" s="172">
        <f>F363/F364</f>
        <v>0.72481818181818181</v>
      </c>
      <c r="G365" s="172">
        <f t="shared" ref="G365:O365" si="146">G363/G364</f>
        <v>0.6750658227848102</v>
      </c>
      <c r="H365" s="172">
        <f t="shared" si="146"/>
        <v>0.64325910447761203</v>
      </c>
      <c r="I365" s="172">
        <f t="shared" si="146"/>
        <v>0.66004340425531927</v>
      </c>
      <c r="J365" s="172">
        <f t="shared" si="146"/>
        <v>0.74016666666666664</v>
      </c>
      <c r="K365" s="172">
        <f t="shared" si="146"/>
        <v>0.56728571428571428</v>
      </c>
      <c r="L365" s="172">
        <f t="shared" si="146"/>
        <v>1.3421433333333332</v>
      </c>
      <c r="M365" s="172">
        <f t="shared" si="146"/>
        <v>1.5418857142857145</v>
      </c>
      <c r="N365" s="172">
        <f t="shared" si="146"/>
        <v>0.77950999999999993</v>
      </c>
      <c r="O365" s="172">
        <f t="shared" si="146"/>
        <v>0.43979418181818181</v>
      </c>
      <c r="P365" s="172">
        <f>P363/P364</f>
        <v>0.68672018181818184</v>
      </c>
      <c r="Q365" s="172">
        <f t="shared" ref="Q365" si="147">Q363/Q364</f>
        <v>0.47438000000000002</v>
      </c>
      <c r="R365" s="172">
        <f t="shared" ref="R365" si="148">R363/R364</f>
        <v>0.70799999999999996</v>
      </c>
      <c r="S365" s="172">
        <f t="shared" ref="S365" si="149">S363/S364</f>
        <v>0.7188696</v>
      </c>
      <c r="T365" s="172">
        <f t="shared" ref="T365" si="150">T363/T364</f>
        <v>0.97166666666666679</v>
      </c>
    </row>
  </sheetData>
  <mergeCells count="442">
    <mergeCell ref="B350:E350"/>
    <mergeCell ref="B351:E351"/>
    <mergeCell ref="B352:E352"/>
    <mergeCell ref="B353:E353"/>
    <mergeCell ref="B344:D344"/>
    <mergeCell ref="B345:E345"/>
    <mergeCell ref="B346:T346"/>
    <mergeCell ref="C347:D347"/>
    <mergeCell ref="C348:D348"/>
    <mergeCell ref="B349:D349"/>
    <mergeCell ref="C338:D338"/>
    <mergeCell ref="C339:D339"/>
    <mergeCell ref="C340:D340"/>
    <mergeCell ref="C341:D341"/>
    <mergeCell ref="C342:D342"/>
    <mergeCell ref="C343:D343"/>
    <mergeCell ref="C333:D333"/>
    <mergeCell ref="B334:D334"/>
    <mergeCell ref="B335:E335"/>
    <mergeCell ref="B336:T336"/>
    <mergeCell ref="C337:D337"/>
    <mergeCell ref="B328:T328"/>
    <mergeCell ref="C329:D329"/>
    <mergeCell ref="C330:D330"/>
    <mergeCell ref="C331:D331"/>
    <mergeCell ref="C332:D332"/>
    <mergeCell ref="C325:D326"/>
    <mergeCell ref="E325:E326"/>
    <mergeCell ref="F325:H325"/>
    <mergeCell ref="J325:N325"/>
    <mergeCell ref="O325:T325"/>
    <mergeCell ref="C327:D327"/>
    <mergeCell ref="B323:C323"/>
    <mergeCell ref="G323:I323"/>
    <mergeCell ref="L323:M323"/>
    <mergeCell ref="N323:Q323"/>
    <mergeCell ref="E324:F324"/>
    <mergeCell ref="L324:M324"/>
    <mergeCell ref="N324:T324"/>
    <mergeCell ref="B317:E317"/>
    <mergeCell ref="B318:E318"/>
    <mergeCell ref="B319:E319"/>
    <mergeCell ref="B320:E320"/>
    <mergeCell ref="M321:T321"/>
    <mergeCell ref="B322:T322"/>
    <mergeCell ref="B311:D311"/>
    <mergeCell ref="B312:E312"/>
    <mergeCell ref="B313:T313"/>
    <mergeCell ref="C314:D314"/>
    <mergeCell ref="C315:D315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B302:E302"/>
    <mergeCell ref="B303:T303"/>
    <mergeCell ref="C304:D304"/>
    <mergeCell ref="B293:T293"/>
    <mergeCell ref="C294:D294"/>
    <mergeCell ref="C295:D295"/>
    <mergeCell ref="C296:D296"/>
    <mergeCell ref="C297:D297"/>
    <mergeCell ref="C298:D298"/>
    <mergeCell ref="C290:D291"/>
    <mergeCell ref="E290:E291"/>
    <mergeCell ref="F290:H290"/>
    <mergeCell ref="J290:N290"/>
    <mergeCell ref="O290:T290"/>
    <mergeCell ref="C292:D292"/>
    <mergeCell ref="B288:C288"/>
    <mergeCell ref="G288:I288"/>
    <mergeCell ref="L288:M288"/>
    <mergeCell ref="N288:Q288"/>
    <mergeCell ref="E289:F289"/>
    <mergeCell ref="L289:M289"/>
    <mergeCell ref="N289:T289"/>
    <mergeCell ref="B282:E282"/>
    <mergeCell ref="B283:E283"/>
    <mergeCell ref="B284:E284"/>
    <mergeCell ref="B285:I285"/>
    <mergeCell ref="M285:T285"/>
    <mergeCell ref="B287:T287"/>
    <mergeCell ref="B277:T277"/>
    <mergeCell ref="C278:D278"/>
    <mergeCell ref="C279:D279"/>
    <mergeCell ref="B281:E281"/>
    <mergeCell ref="C271:D271"/>
    <mergeCell ref="C272:D272"/>
    <mergeCell ref="C273:D273"/>
    <mergeCell ref="C274:D274"/>
    <mergeCell ref="B275:D275"/>
    <mergeCell ref="B276:E276"/>
    <mergeCell ref="B265:D265"/>
    <mergeCell ref="B266:E266"/>
    <mergeCell ref="B267:T267"/>
    <mergeCell ref="C268:D268"/>
    <mergeCell ref="C269:D269"/>
    <mergeCell ref="C270:D270"/>
    <mergeCell ref="B259:T259"/>
    <mergeCell ref="C260:D260"/>
    <mergeCell ref="C261:D261"/>
    <mergeCell ref="C262:D262"/>
    <mergeCell ref="C263:D263"/>
    <mergeCell ref="C264:D264"/>
    <mergeCell ref="C256:D257"/>
    <mergeCell ref="E256:E257"/>
    <mergeCell ref="F256:H256"/>
    <mergeCell ref="J256:N256"/>
    <mergeCell ref="O256:T256"/>
    <mergeCell ref="C258:D258"/>
    <mergeCell ref="B253:T253"/>
    <mergeCell ref="B254:C254"/>
    <mergeCell ref="G254:I254"/>
    <mergeCell ref="L254:M254"/>
    <mergeCell ref="N254:Q254"/>
    <mergeCell ref="E255:F255"/>
    <mergeCell ref="L255:M255"/>
    <mergeCell ref="N255:T255"/>
    <mergeCell ref="B247:E247"/>
    <mergeCell ref="B248:E248"/>
    <mergeCell ref="B249:E249"/>
    <mergeCell ref="B250:E250"/>
    <mergeCell ref="B251:I251"/>
    <mergeCell ref="M251:T251"/>
    <mergeCell ref="B242:E242"/>
    <mergeCell ref="B243:T243"/>
    <mergeCell ref="C244:D244"/>
    <mergeCell ref="C245:D245"/>
    <mergeCell ref="C236:D236"/>
    <mergeCell ref="C237:D237"/>
    <mergeCell ref="C238:D238"/>
    <mergeCell ref="C239:D239"/>
    <mergeCell ref="C240:D240"/>
    <mergeCell ref="B241:D241"/>
    <mergeCell ref="C230:D230"/>
    <mergeCell ref="B232:E232"/>
    <mergeCell ref="B233:T233"/>
    <mergeCell ref="C234:D234"/>
    <mergeCell ref="C235:D235"/>
    <mergeCell ref="B224:T224"/>
    <mergeCell ref="C225:D225"/>
    <mergeCell ref="C226:D226"/>
    <mergeCell ref="C227:D227"/>
    <mergeCell ref="C228:D228"/>
    <mergeCell ref="C229:D229"/>
    <mergeCell ref="B231:D231"/>
    <mergeCell ref="C221:D222"/>
    <mergeCell ref="E221:E222"/>
    <mergeCell ref="F221:H221"/>
    <mergeCell ref="J221:N221"/>
    <mergeCell ref="O221:T221"/>
    <mergeCell ref="C223:D223"/>
    <mergeCell ref="B218:T218"/>
    <mergeCell ref="B219:C219"/>
    <mergeCell ref="G219:I219"/>
    <mergeCell ref="L219:M219"/>
    <mergeCell ref="N219:Q219"/>
    <mergeCell ref="E220:F220"/>
    <mergeCell ref="L220:M220"/>
    <mergeCell ref="N220:T220"/>
    <mergeCell ref="B213:E213"/>
    <mergeCell ref="B214:E214"/>
    <mergeCell ref="B215:E215"/>
    <mergeCell ref="B216:E216"/>
    <mergeCell ref="M217:T217"/>
    <mergeCell ref="B207:D207"/>
    <mergeCell ref="B208:E208"/>
    <mergeCell ref="B209:T209"/>
    <mergeCell ref="C210:D210"/>
    <mergeCell ref="C211:D211"/>
    <mergeCell ref="C201:D201"/>
    <mergeCell ref="C202:D202"/>
    <mergeCell ref="C203:D203"/>
    <mergeCell ref="C204:D204"/>
    <mergeCell ref="C205:D205"/>
    <mergeCell ref="C206:D206"/>
    <mergeCell ref="C195:D195"/>
    <mergeCell ref="B196:D196"/>
    <mergeCell ref="B197:E197"/>
    <mergeCell ref="B198:T198"/>
    <mergeCell ref="C199:D199"/>
    <mergeCell ref="C200:D200"/>
    <mergeCell ref="L186:M186"/>
    <mergeCell ref="N186:T186"/>
    <mergeCell ref="C187:D188"/>
    <mergeCell ref="E187:E188"/>
    <mergeCell ref="F187:H187"/>
    <mergeCell ref="J187:N187"/>
    <mergeCell ref="O187:T187"/>
    <mergeCell ref="M183:T183"/>
    <mergeCell ref="B184:T184"/>
    <mergeCell ref="B185:C185"/>
    <mergeCell ref="G185:I185"/>
    <mergeCell ref="L185:M185"/>
    <mergeCell ref="N185:Q185"/>
    <mergeCell ref="B167:E167"/>
    <mergeCell ref="B168:E168"/>
    <mergeCell ref="B169:E169"/>
    <mergeCell ref="B170:E170"/>
    <mergeCell ref="B161:D161"/>
    <mergeCell ref="B162:E162"/>
    <mergeCell ref="B163:T163"/>
    <mergeCell ref="C164:D164"/>
    <mergeCell ref="C165:D165"/>
    <mergeCell ref="B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B151:D151"/>
    <mergeCell ref="B152:E152"/>
    <mergeCell ref="B153:T153"/>
    <mergeCell ref="C154:D154"/>
    <mergeCell ref="B146:T146"/>
    <mergeCell ref="C147:D147"/>
    <mergeCell ref="C148:D148"/>
    <mergeCell ref="C143:D144"/>
    <mergeCell ref="E143:E144"/>
    <mergeCell ref="F143:H143"/>
    <mergeCell ref="J143:N143"/>
    <mergeCell ref="O143:T143"/>
    <mergeCell ref="C145:D145"/>
    <mergeCell ref="B134:D134"/>
    <mergeCell ref="B140:T140"/>
    <mergeCell ref="B141:C141"/>
    <mergeCell ref="G141:I141"/>
    <mergeCell ref="L141:M141"/>
    <mergeCell ref="N141:Q141"/>
    <mergeCell ref="E142:F142"/>
    <mergeCell ref="L142:M142"/>
    <mergeCell ref="N142:T142"/>
    <mergeCell ref="B136:E136"/>
    <mergeCell ref="B137:E137"/>
    <mergeCell ref="B138:E138"/>
    <mergeCell ref="M139:T139"/>
    <mergeCell ref="B135:E135"/>
    <mergeCell ref="B129:D129"/>
    <mergeCell ref="B130:E130"/>
    <mergeCell ref="B131:T131"/>
    <mergeCell ref="C132:D132"/>
    <mergeCell ref="C133:D133"/>
    <mergeCell ref="C123:D123"/>
    <mergeCell ref="C124:D124"/>
    <mergeCell ref="C125:D125"/>
    <mergeCell ref="C126:D126"/>
    <mergeCell ref="C127:D127"/>
    <mergeCell ref="C128:D128"/>
    <mergeCell ref="C118:D118"/>
    <mergeCell ref="B120:E120"/>
    <mergeCell ref="B121:T121"/>
    <mergeCell ref="C122:D122"/>
    <mergeCell ref="C112:D112"/>
    <mergeCell ref="B113:T113"/>
    <mergeCell ref="C114:D114"/>
    <mergeCell ref="C115:D115"/>
    <mergeCell ref="C116:D116"/>
    <mergeCell ref="C117:D117"/>
    <mergeCell ref="E109:F109"/>
    <mergeCell ref="L109:M109"/>
    <mergeCell ref="N109:T109"/>
    <mergeCell ref="C110:D111"/>
    <mergeCell ref="E110:E111"/>
    <mergeCell ref="F110:H110"/>
    <mergeCell ref="J110:N110"/>
    <mergeCell ref="O110:T110"/>
    <mergeCell ref="B103:E103"/>
    <mergeCell ref="B104:E104"/>
    <mergeCell ref="B105:E105"/>
    <mergeCell ref="M106:T106"/>
    <mergeCell ref="B107:T107"/>
    <mergeCell ref="B108:C108"/>
    <mergeCell ref="G108:I108"/>
    <mergeCell ref="L108:M108"/>
    <mergeCell ref="N108:Q108"/>
    <mergeCell ref="B97:E97"/>
    <mergeCell ref="B98:T98"/>
    <mergeCell ref="C99:D99"/>
    <mergeCell ref="C100:D100"/>
    <mergeCell ref="B102:E102"/>
    <mergeCell ref="C91:D91"/>
    <mergeCell ref="C92:D92"/>
    <mergeCell ref="C93:D93"/>
    <mergeCell ref="C94:D94"/>
    <mergeCell ref="C95:D95"/>
    <mergeCell ref="B96:D96"/>
    <mergeCell ref="C85:D85"/>
    <mergeCell ref="B86:D86"/>
    <mergeCell ref="B87:E87"/>
    <mergeCell ref="B88:T88"/>
    <mergeCell ref="C89:D89"/>
    <mergeCell ref="C90:D90"/>
    <mergeCell ref="C78:D78"/>
    <mergeCell ref="B79:T79"/>
    <mergeCell ref="C80:D80"/>
    <mergeCell ref="C82:D82"/>
    <mergeCell ref="C83:D83"/>
    <mergeCell ref="C84:D84"/>
    <mergeCell ref="E75:F75"/>
    <mergeCell ref="L75:M75"/>
    <mergeCell ref="N75:T75"/>
    <mergeCell ref="C76:D77"/>
    <mergeCell ref="E76:E77"/>
    <mergeCell ref="F76:H76"/>
    <mergeCell ref="J76:N76"/>
    <mergeCell ref="O76:T76"/>
    <mergeCell ref="M71:T71"/>
    <mergeCell ref="B73:T73"/>
    <mergeCell ref="B74:C74"/>
    <mergeCell ref="G74:I74"/>
    <mergeCell ref="L74:M74"/>
    <mergeCell ref="N74:Q74"/>
    <mergeCell ref="B68:E68"/>
    <mergeCell ref="B69:E69"/>
    <mergeCell ref="B70:E70"/>
    <mergeCell ref="B71:I71"/>
    <mergeCell ref="B61:D61"/>
    <mergeCell ref="B62:E62"/>
    <mergeCell ref="B63:T63"/>
    <mergeCell ref="C64:D64"/>
    <mergeCell ref="C65:D65"/>
    <mergeCell ref="B66:D66"/>
    <mergeCell ref="B67:E67"/>
    <mergeCell ref="C55:D55"/>
    <mergeCell ref="C56:D56"/>
    <mergeCell ref="C57:D57"/>
    <mergeCell ref="C58:D58"/>
    <mergeCell ref="C59:D59"/>
    <mergeCell ref="C60:D60"/>
    <mergeCell ref="C50:D50"/>
    <mergeCell ref="B52:E52"/>
    <mergeCell ref="B53:T53"/>
    <mergeCell ref="C54:D54"/>
    <mergeCell ref="B44:T44"/>
    <mergeCell ref="C45:D45"/>
    <mergeCell ref="C46:D46"/>
    <mergeCell ref="C47:D47"/>
    <mergeCell ref="C48:D48"/>
    <mergeCell ref="C49:D49"/>
    <mergeCell ref="C41:D42"/>
    <mergeCell ref="E41:E42"/>
    <mergeCell ref="F41:H41"/>
    <mergeCell ref="J41:N41"/>
    <mergeCell ref="O41:T41"/>
    <mergeCell ref="C43:D43"/>
    <mergeCell ref="B39:C39"/>
    <mergeCell ref="G39:I39"/>
    <mergeCell ref="L39:M39"/>
    <mergeCell ref="N39:Q39"/>
    <mergeCell ref="E40:F40"/>
    <mergeCell ref="L40:M40"/>
    <mergeCell ref="N40:T40"/>
    <mergeCell ref="B33:E33"/>
    <mergeCell ref="B34:E34"/>
    <mergeCell ref="B35:E35"/>
    <mergeCell ref="B36:E36"/>
    <mergeCell ref="M37:T37"/>
    <mergeCell ref="B38:T38"/>
    <mergeCell ref="C30:D30"/>
    <mergeCell ref="C21:D21"/>
    <mergeCell ref="C22:D22"/>
    <mergeCell ref="C23:D23"/>
    <mergeCell ref="C24:D24"/>
    <mergeCell ref="C25:D25"/>
    <mergeCell ref="B27:E27"/>
    <mergeCell ref="B31:D31"/>
    <mergeCell ref="B32:E32"/>
    <mergeCell ref="C20:D20"/>
    <mergeCell ref="C7:D7"/>
    <mergeCell ref="B8:T8"/>
    <mergeCell ref="C9:D9"/>
    <mergeCell ref="C10:D10"/>
    <mergeCell ref="C11:D11"/>
    <mergeCell ref="C12:D12"/>
    <mergeCell ref="B28:T28"/>
    <mergeCell ref="C29:D29"/>
    <mergeCell ref="M1:T1"/>
    <mergeCell ref="B2:T2"/>
    <mergeCell ref="B3:C3"/>
    <mergeCell ref="G3:I3"/>
    <mergeCell ref="L3:M3"/>
    <mergeCell ref="N3:Q3"/>
    <mergeCell ref="C81:D81"/>
    <mergeCell ref="B26:D26"/>
    <mergeCell ref="B14:D14"/>
    <mergeCell ref="B4:D4"/>
    <mergeCell ref="E4:F4"/>
    <mergeCell ref="L4:M4"/>
    <mergeCell ref="N4:T4"/>
    <mergeCell ref="B5:B6"/>
    <mergeCell ref="C5:D6"/>
    <mergeCell ref="E5:E6"/>
    <mergeCell ref="F5:H5"/>
    <mergeCell ref="J5:N5"/>
    <mergeCell ref="O5:T5"/>
    <mergeCell ref="C13:D13"/>
    <mergeCell ref="B15:E15"/>
    <mergeCell ref="B17:T17"/>
    <mergeCell ref="C18:D18"/>
    <mergeCell ref="C19:D19"/>
    <mergeCell ref="B180:E180"/>
    <mergeCell ref="B181:E181"/>
    <mergeCell ref="B182:E182"/>
    <mergeCell ref="B212:D212"/>
    <mergeCell ref="B246:D246"/>
    <mergeCell ref="B280:D280"/>
    <mergeCell ref="B316:D316"/>
    <mergeCell ref="B354:E354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C192:D192"/>
    <mergeCell ref="C193:D193"/>
    <mergeCell ref="C194:D194"/>
    <mergeCell ref="E186:F186"/>
    <mergeCell ref="C189:D189"/>
    <mergeCell ref="B190:T190"/>
    <mergeCell ref="C191:D191"/>
    <mergeCell ref="B364:E364"/>
    <mergeCell ref="B365:E365"/>
    <mergeCell ref="B355:E355"/>
    <mergeCell ref="B356:E356"/>
    <mergeCell ref="B357:E357"/>
    <mergeCell ref="B358:E358"/>
    <mergeCell ref="B359:E359"/>
    <mergeCell ref="B360:E360"/>
    <mergeCell ref="B361:E361"/>
    <mergeCell ref="B362:E362"/>
    <mergeCell ref="B363:E363"/>
  </mergeCells>
  <pageMargins left="0.19685039370078741" right="0" top="0.19685039370078741" bottom="0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B1:T361"/>
  <sheetViews>
    <sheetView tabSelected="1" topLeftCell="A186" zoomScale="80" zoomScaleNormal="80" workbookViewId="0">
      <selection activeCell="J372" sqref="J372"/>
    </sheetView>
  </sheetViews>
  <sheetFormatPr defaultRowHeight="15"/>
  <cols>
    <col min="1" max="1" width="32" customWidth="1"/>
    <col min="2" max="2" width="7.5703125" style="116" customWidth="1"/>
    <col min="3" max="3" width="15.28515625" style="116" customWidth="1"/>
    <col min="4" max="4" width="15.140625" style="116" customWidth="1"/>
    <col min="5" max="5" width="6.85546875" style="116" customWidth="1"/>
    <col min="6" max="9" width="8" style="116" customWidth="1"/>
    <col min="10" max="10" width="8.5703125" style="116" customWidth="1"/>
    <col min="11" max="12" width="9.140625" style="116" customWidth="1"/>
    <col min="13" max="13" width="8.7109375" style="116" customWidth="1"/>
    <col min="14" max="17" width="8" style="116" customWidth="1"/>
    <col min="18" max="18" width="9.28515625" style="116" customWidth="1"/>
    <col min="19" max="20" width="8" style="116" customWidth="1"/>
  </cols>
  <sheetData>
    <row r="1" spans="2:20" ht="15.75" customHeight="1">
      <c r="B1" s="144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19" t="s">
        <v>229</v>
      </c>
      <c r="N1" s="319"/>
      <c r="O1" s="319"/>
      <c r="P1" s="319"/>
      <c r="Q1" s="319"/>
      <c r="R1" s="319"/>
      <c r="S1" s="319"/>
      <c r="T1" s="319"/>
    </row>
    <row r="2" spans="2:20" ht="15.75" customHeight="1">
      <c r="B2" s="317" t="s">
        <v>230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</row>
    <row r="3" spans="2:20" ht="15.75" customHeight="1">
      <c r="B3" s="332" t="s">
        <v>231</v>
      </c>
      <c r="C3" s="332"/>
      <c r="D3" s="151"/>
      <c r="E3" s="151"/>
      <c r="F3" s="151"/>
      <c r="G3" s="333" t="s">
        <v>232</v>
      </c>
      <c r="H3" s="333"/>
      <c r="I3" s="333"/>
      <c r="J3" s="151"/>
      <c r="K3" s="151"/>
      <c r="L3" s="332" t="s">
        <v>233</v>
      </c>
      <c r="M3" s="332"/>
      <c r="N3" s="333" t="s">
        <v>234</v>
      </c>
      <c r="O3" s="333"/>
      <c r="P3" s="333"/>
      <c r="Q3" s="333"/>
      <c r="R3" s="151"/>
      <c r="S3" s="151"/>
      <c r="T3" s="151"/>
    </row>
    <row r="4" spans="2:20">
      <c r="B4" s="319" t="s">
        <v>349</v>
      </c>
      <c r="C4" s="319"/>
      <c r="D4" s="319"/>
      <c r="E4" s="334" t="s">
        <v>235</v>
      </c>
      <c r="F4" s="334"/>
      <c r="G4" s="146">
        <v>1</v>
      </c>
      <c r="H4" s="146"/>
      <c r="I4" s="146"/>
      <c r="J4" s="146"/>
      <c r="K4" s="146"/>
      <c r="L4" s="317" t="s">
        <v>236</v>
      </c>
      <c r="M4" s="317"/>
      <c r="N4" s="319" t="s">
        <v>320</v>
      </c>
      <c r="O4" s="319"/>
      <c r="P4" s="319"/>
      <c r="Q4" s="319"/>
      <c r="R4" s="319"/>
      <c r="S4" s="319"/>
      <c r="T4" s="319"/>
    </row>
    <row r="5" spans="2:20">
      <c r="B5" s="321" t="s">
        <v>238</v>
      </c>
      <c r="C5" s="321" t="s">
        <v>239</v>
      </c>
      <c r="D5" s="321"/>
      <c r="E5" s="321" t="s">
        <v>240</v>
      </c>
      <c r="F5" s="321" t="s">
        <v>241</v>
      </c>
      <c r="G5" s="321"/>
      <c r="H5" s="321"/>
      <c r="I5" s="149" t="s">
        <v>242</v>
      </c>
      <c r="J5" s="321" t="s">
        <v>244</v>
      </c>
      <c r="K5" s="321"/>
      <c r="L5" s="321"/>
      <c r="M5" s="321"/>
      <c r="N5" s="321"/>
      <c r="O5" s="321" t="s">
        <v>245</v>
      </c>
      <c r="P5" s="321"/>
      <c r="Q5" s="321"/>
      <c r="R5" s="321"/>
      <c r="S5" s="321"/>
      <c r="T5" s="321"/>
    </row>
    <row r="6" spans="2:20" ht="38.25">
      <c r="B6" s="321"/>
      <c r="C6" s="321"/>
      <c r="D6" s="321"/>
      <c r="E6" s="321"/>
      <c r="F6" s="149" t="s">
        <v>246</v>
      </c>
      <c r="G6" s="149" t="s">
        <v>247</v>
      </c>
      <c r="H6" s="149" t="s">
        <v>248</v>
      </c>
      <c r="I6" s="149" t="s">
        <v>243</v>
      </c>
      <c r="J6" s="149" t="s">
        <v>249</v>
      </c>
      <c r="K6" s="149" t="s">
        <v>250</v>
      </c>
      <c r="L6" s="149" t="s">
        <v>251</v>
      </c>
      <c r="M6" s="149" t="s">
        <v>252</v>
      </c>
      <c r="N6" s="149" t="s">
        <v>253</v>
      </c>
      <c r="O6" s="149" t="s">
        <v>254</v>
      </c>
      <c r="P6" s="149" t="s">
        <v>255</v>
      </c>
      <c r="Q6" s="149" t="s">
        <v>256</v>
      </c>
      <c r="R6" s="149" t="s">
        <v>257</v>
      </c>
      <c r="S6" s="149" t="s">
        <v>258</v>
      </c>
      <c r="T6" s="149" t="s">
        <v>259</v>
      </c>
    </row>
    <row r="7" spans="2:20">
      <c r="B7" s="150">
        <v>1</v>
      </c>
      <c r="C7" s="318">
        <v>2</v>
      </c>
      <c r="D7" s="318"/>
      <c r="E7" s="150">
        <v>3</v>
      </c>
      <c r="F7" s="150">
        <v>4</v>
      </c>
      <c r="G7" s="150">
        <v>5</v>
      </c>
      <c r="H7" s="150">
        <v>6</v>
      </c>
      <c r="I7" s="150">
        <v>7</v>
      </c>
      <c r="J7" s="150">
        <v>8</v>
      </c>
      <c r="K7" s="150">
        <v>9</v>
      </c>
      <c r="L7" s="150">
        <v>10</v>
      </c>
      <c r="M7" s="150">
        <v>11</v>
      </c>
      <c r="N7" s="150">
        <v>12</v>
      </c>
      <c r="O7" s="150">
        <v>13</v>
      </c>
      <c r="P7" s="150">
        <v>14</v>
      </c>
      <c r="Q7" s="150">
        <v>15</v>
      </c>
      <c r="R7" s="150">
        <v>16</v>
      </c>
      <c r="S7" s="150">
        <v>17</v>
      </c>
      <c r="T7" s="150">
        <v>18</v>
      </c>
    </row>
    <row r="8" spans="2:20">
      <c r="B8" s="334" t="s">
        <v>260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</row>
    <row r="9" spans="2:20" s="154" customFormat="1" ht="18" customHeight="1">
      <c r="B9" s="153">
        <v>338</v>
      </c>
      <c r="C9" s="315" t="s">
        <v>416</v>
      </c>
      <c r="D9" s="315"/>
      <c r="E9" s="153">
        <v>100</v>
      </c>
      <c r="F9" s="153">
        <v>0.4</v>
      </c>
      <c r="G9" s="153">
        <v>0.4</v>
      </c>
      <c r="H9" s="153">
        <v>9.8000000000000007</v>
      </c>
      <c r="I9" s="153">
        <v>42</v>
      </c>
      <c r="J9" s="153">
        <v>0.04</v>
      </c>
      <c r="K9" s="153">
        <v>0.02</v>
      </c>
      <c r="L9" s="153">
        <v>10</v>
      </c>
      <c r="M9" s="153">
        <v>0</v>
      </c>
      <c r="N9" s="153">
        <v>0.2</v>
      </c>
      <c r="O9" s="153">
        <v>16</v>
      </c>
      <c r="P9" s="153">
        <v>11</v>
      </c>
      <c r="Q9" s="153">
        <v>0</v>
      </c>
      <c r="R9" s="153">
        <v>0</v>
      </c>
      <c r="S9" s="153">
        <v>9</v>
      </c>
      <c r="T9" s="153">
        <v>2.2000000000000002</v>
      </c>
    </row>
    <row r="10" spans="2:20" s="154" customFormat="1" ht="27" customHeight="1">
      <c r="B10" s="153">
        <v>15</v>
      </c>
      <c r="C10" s="315" t="s">
        <v>262</v>
      </c>
      <c r="D10" s="315"/>
      <c r="E10" s="153">
        <v>20</v>
      </c>
      <c r="F10" s="153">
        <v>4.6399999999999997</v>
      </c>
      <c r="G10" s="153">
        <v>6.8</v>
      </c>
      <c r="H10" s="153">
        <v>0.02</v>
      </c>
      <c r="I10" s="153">
        <v>79.8</v>
      </c>
      <c r="J10" s="153">
        <v>0.01</v>
      </c>
      <c r="K10" s="153">
        <v>0.06</v>
      </c>
      <c r="L10" s="153">
        <v>0.14000000000000001</v>
      </c>
      <c r="M10" s="153">
        <v>4.5999999999999999E-2</v>
      </c>
      <c r="N10" s="153">
        <v>0.1</v>
      </c>
      <c r="O10" s="153">
        <v>176</v>
      </c>
      <c r="P10" s="153">
        <v>100</v>
      </c>
      <c r="Q10" s="153">
        <v>0.8</v>
      </c>
      <c r="R10" s="153">
        <v>0.04</v>
      </c>
      <c r="S10" s="153">
        <v>7</v>
      </c>
      <c r="T10" s="153">
        <v>0.26</v>
      </c>
    </row>
    <row r="11" spans="2:20" s="154" customFormat="1" ht="29.25" customHeight="1">
      <c r="B11" s="153">
        <v>173</v>
      </c>
      <c r="C11" s="315" t="s">
        <v>263</v>
      </c>
      <c r="D11" s="315"/>
      <c r="E11" s="153">
        <v>250</v>
      </c>
      <c r="F11" s="153">
        <v>9.0380000000000003</v>
      </c>
      <c r="G11" s="153">
        <v>12.263</v>
      </c>
      <c r="H11" s="153">
        <v>36</v>
      </c>
      <c r="I11" s="153">
        <v>290.51</v>
      </c>
      <c r="J11" s="153">
        <v>0.27500000000000002</v>
      </c>
      <c r="K11" s="153">
        <v>0.25</v>
      </c>
      <c r="L11" s="153">
        <v>1.625</v>
      </c>
      <c r="M11" s="153">
        <v>0.1</v>
      </c>
      <c r="N11" s="153">
        <v>0</v>
      </c>
      <c r="O11" s="153">
        <v>178.22499999999999</v>
      </c>
      <c r="P11" s="153">
        <v>277.97500000000002</v>
      </c>
      <c r="Q11" s="153">
        <v>0</v>
      </c>
      <c r="R11" s="153">
        <v>1E-3</v>
      </c>
      <c r="S11" s="153">
        <v>82.113</v>
      </c>
      <c r="T11" s="153">
        <v>1.913</v>
      </c>
    </row>
    <row r="12" spans="2:20" s="154" customFormat="1" ht="18" customHeight="1">
      <c r="B12" s="153">
        <v>382</v>
      </c>
      <c r="C12" s="315" t="s">
        <v>322</v>
      </c>
      <c r="D12" s="315"/>
      <c r="E12" s="153">
        <v>200</v>
      </c>
      <c r="F12" s="153">
        <v>3.5</v>
      </c>
      <c r="G12" s="153">
        <v>3.7</v>
      </c>
      <c r="H12" s="153">
        <v>25.5</v>
      </c>
      <c r="I12" s="153">
        <v>149.30000000000001</v>
      </c>
      <c r="J12" s="153">
        <v>0.06</v>
      </c>
      <c r="K12" s="153">
        <v>0.01</v>
      </c>
      <c r="L12" s="153">
        <v>1.6</v>
      </c>
      <c r="M12" s="153">
        <v>0.04</v>
      </c>
      <c r="N12" s="153">
        <v>0.4</v>
      </c>
      <c r="O12" s="153">
        <v>102.6</v>
      </c>
      <c r="P12" s="153">
        <v>178.4</v>
      </c>
      <c r="Q12" s="153">
        <v>1</v>
      </c>
      <c r="R12" s="153">
        <v>1.2999999999999999E-2</v>
      </c>
      <c r="S12" s="153">
        <v>24.8</v>
      </c>
      <c r="T12" s="153">
        <v>1</v>
      </c>
    </row>
    <row r="13" spans="2:20" s="154" customFormat="1" ht="18" customHeight="1">
      <c r="B13" s="153" t="s">
        <v>270</v>
      </c>
      <c r="C13" s="315" t="s">
        <v>88</v>
      </c>
      <c r="D13" s="315"/>
      <c r="E13" s="153">
        <v>40</v>
      </c>
      <c r="F13" s="153">
        <v>3.04</v>
      </c>
      <c r="G13" s="153">
        <v>0.32</v>
      </c>
      <c r="H13" s="153">
        <v>19.68</v>
      </c>
      <c r="I13" s="153">
        <v>88.8</v>
      </c>
      <c r="J13" s="153">
        <v>0.04</v>
      </c>
      <c r="K13" s="153">
        <v>0.01</v>
      </c>
      <c r="L13" s="153">
        <v>0.88</v>
      </c>
      <c r="M13" s="153">
        <v>0</v>
      </c>
      <c r="N13" s="153">
        <v>0.7</v>
      </c>
      <c r="O13" s="153">
        <v>8</v>
      </c>
      <c r="P13" s="153">
        <v>26</v>
      </c>
      <c r="Q13" s="153">
        <v>8.0000000000000002E-3</v>
      </c>
      <c r="R13" s="153">
        <v>3.0000000000000001E-3</v>
      </c>
      <c r="S13" s="153">
        <v>0</v>
      </c>
      <c r="T13" s="153">
        <v>0.44</v>
      </c>
    </row>
    <row r="14" spans="2:20" s="154" customFormat="1" ht="18" customHeight="1">
      <c r="B14" s="312" t="s">
        <v>264</v>
      </c>
      <c r="C14" s="313"/>
      <c r="D14" s="314"/>
      <c r="E14" s="164">
        <f>SUM(E9:E13)</f>
        <v>610</v>
      </c>
      <c r="F14" s="164">
        <f t="shared" ref="F14:T14" si="0">SUM(F9:F13)</f>
        <v>20.617999999999999</v>
      </c>
      <c r="G14" s="164">
        <f t="shared" si="0"/>
        <v>23.483000000000001</v>
      </c>
      <c r="H14" s="164">
        <f t="shared" si="0"/>
        <v>91</v>
      </c>
      <c r="I14" s="164">
        <f t="shared" si="0"/>
        <v>650.41</v>
      </c>
      <c r="J14" s="164">
        <f t="shared" si="0"/>
        <v>0.42499999999999999</v>
      </c>
      <c r="K14" s="164">
        <f t="shared" si="0"/>
        <v>0.35000000000000003</v>
      </c>
      <c r="L14" s="164">
        <f t="shared" si="0"/>
        <v>14.245000000000001</v>
      </c>
      <c r="M14" s="164">
        <f t="shared" si="0"/>
        <v>0.18600000000000003</v>
      </c>
      <c r="N14" s="164">
        <f t="shared" si="0"/>
        <v>1.4</v>
      </c>
      <c r="O14" s="164">
        <f t="shared" si="0"/>
        <v>480.82500000000005</v>
      </c>
      <c r="P14" s="164">
        <f t="shared" si="0"/>
        <v>593.375</v>
      </c>
      <c r="Q14" s="164">
        <f t="shared" si="0"/>
        <v>1.8080000000000001</v>
      </c>
      <c r="R14" s="164">
        <f t="shared" si="0"/>
        <v>5.7000000000000002E-2</v>
      </c>
      <c r="S14" s="164">
        <f t="shared" si="0"/>
        <v>122.913</v>
      </c>
      <c r="T14" s="164">
        <f t="shared" si="0"/>
        <v>5.8130000000000006</v>
      </c>
    </row>
    <row r="15" spans="2:20" s="154" customFormat="1" ht="18" customHeight="1">
      <c r="B15" s="311" t="s">
        <v>265</v>
      </c>
      <c r="C15" s="311"/>
      <c r="D15" s="311"/>
      <c r="E15" s="311"/>
      <c r="F15" s="172">
        <f t="shared" ref="F15:T15" si="1">F14/F33</f>
        <v>0.22908888888888887</v>
      </c>
      <c r="G15" s="172">
        <f t="shared" si="1"/>
        <v>0.25525000000000003</v>
      </c>
      <c r="H15" s="172">
        <f t="shared" si="1"/>
        <v>0.23759791122715404</v>
      </c>
      <c r="I15" s="172">
        <f t="shared" si="1"/>
        <v>0.23912132352941176</v>
      </c>
      <c r="J15" s="172">
        <f t="shared" si="1"/>
        <v>0.3035714285714286</v>
      </c>
      <c r="K15" s="172">
        <f t="shared" si="1"/>
        <v>0.21875</v>
      </c>
      <c r="L15" s="172">
        <f t="shared" si="1"/>
        <v>0.20350000000000001</v>
      </c>
      <c r="M15" s="172">
        <f t="shared" si="1"/>
        <v>0.20666666666666669</v>
      </c>
      <c r="N15" s="172">
        <f t="shared" si="1"/>
        <v>0.11666666666666665</v>
      </c>
      <c r="O15" s="172">
        <f t="shared" si="1"/>
        <v>0.40068750000000003</v>
      </c>
      <c r="P15" s="172">
        <f t="shared" si="1"/>
        <v>0.49447916666666669</v>
      </c>
      <c r="Q15" s="172">
        <f t="shared" si="1"/>
        <v>0.12914285714285714</v>
      </c>
      <c r="R15" s="172">
        <f t="shared" si="1"/>
        <v>0.56999999999999995</v>
      </c>
      <c r="S15" s="172">
        <f t="shared" si="1"/>
        <v>0.40970999999999996</v>
      </c>
      <c r="T15" s="172">
        <f t="shared" si="1"/>
        <v>0.32294444444444448</v>
      </c>
    </row>
    <row r="16" spans="2:20" s="154" customFormat="1" ht="18" customHeight="1">
      <c r="B16" s="323" t="s">
        <v>266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</row>
    <row r="17" spans="2:20" s="154" customFormat="1" ht="17.25" customHeight="1">
      <c r="B17" s="153" t="s">
        <v>334</v>
      </c>
      <c r="C17" s="315" t="s">
        <v>335</v>
      </c>
      <c r="D17" s="315"/>
      <c r="E17" s="153">
        <v>100</v>
      </c>
      <c r="F17" s="153">
        <v>1.71</v>
      </c>
      <c r="G17" s="153">
        <v>5</v>
      </c>
      <c r="H17" s="153">
        <v>8.4600000000000009</v>
      </c>
      <c r="I17" s="153">
        <v>85.7</v>
      </c>
      <c r="J17" s="153">
        <v>0.02</v>
      </c>
      <c r="K17" s="153">
        <v>0.03</v>
      </c>
      <c r="L17" s="153">
        <v>19.809999999999999</v>
      </c>
      <c r="M17" s="153">
        <v>0.02</v>
      </c>
      <c r="N17" s="153"/>
      <c r="O17" s="153">
        <v>52.24</v>
      </c>
      <c r="P17" s="153">
        <v>33.950000000000003</v>
      </c>
      <c r="Q17" s="153"/>
      <c r="R17" s="153">
        <v>0</v>
      </c>
      <c r="S17" s="153">
        <v>16.010000000000002</v>
      </c>
      <c r="T17" s="153">
        <v>0.67</v>
      </c>
    </row>
    <row r="18" spans="2:20" s="154" customFormat="1" ht="28.5" customHeight="1">
      <c r="B18" s="153">
        <v>45</v>
      </c>
      <c r="C18" s="315" t="s">
        <v>267</v>
      </c>
      <c r="D18" s="315"/>
      <c r="E18" s="153">
        <v>100</v>
      </c>
      <c r="F18" s="153">
        <v>1.5</v>
      </c>
      <c r="G18" s="153">
        <v>2.1829999999999998</v>
      </c>
      <c r="H18" s="153">
        <v>9.33</v>
      </c>
      <c r="I18" s="153">
        <v>62.982999999999997</v>
      </c>
      <c r="J18" s="153">
        <v>0.1</v>
      </c>
      <c r="K18" s="153">
        <v>0.11700000000000001</v>
      </c>
      <c r="L18" s="153">
        <v>25.832999999999998</v>
      </c>
      <c r="M18" s="153">
        <v>0.11799999999999999</v>
      </c>
      <c r="N18" s="153">
        <v>0.5</v>
      </c>
      <c r="O18" s="153">
        <v>47</v>
      </c>
      <c r="P18" s="153">
        <v>31.5</v>
      </c>
      <c r="Q18" s="153">
        <v>0.33</v>
      </c>
      <c r="R18" s="153">
        <v>2E-3</v>
      </c>
      <c r="S18" s="153">
        <v>17.5</v>
      </c>
      <c r="T18" s="153">
        <v>1</v>
      </c>
    </row>
    <row r="19" spans="2:20" s="154" customFormat="1" ht="18" customHeight="1">
      <c r="B19" s="153">
        <v>102</v>
      </c>
      <c r="C19" s="315" t="s">
        <v>336</v>
      </c>
      <c r="D19" s="315"/>
      <c r="E19" s="153" t="s">
        <v>226</v>
      </c>
      <c r="F19" s="153">
        <v>5.49</v>
      </c>
      <c r="G19" s="153">
        <v>5.28</v>
      </c>
      <c r="H19" s="153">
        <v>16.329999999999998</v>
      </c>
      <c r="I19" s="153">
        <v>134.75</v>
      </c>
      <c r="J19" s="153">
        <v>0.23</v>
      </c>
      <c r="K19" s="153"/>
      <c r="L19" s="153"/>
      <c r="M19" s="153"/>
      <c r="N19" s="153"/>
      <c r="O19" s="153">
        <v>38.08</v>
      </c>
      <c r="P19" s="153"/>
      <c r="Q19" s="153"/>
      <c r="R19" s="153"/>
      <c r="S19" s="153">
        <v>35.299999999999997</v>
      </c>
      <c r="T19" s="153">
        <v>2.0299999999999998</v>
      </c>
    </row>
    <row r="20" spans="2:20" s="154" customFormat="1" ht="18" customHeight="1">
      <c r="B20" s="153">
        <v>260</v>
      </c>
      <c r="C20" s="315" t="s">
        <v>337</v>
      </c>
      <c r="D20" s="315"/>
      <c r="E20" s="153">
        <v>100</v>
      </c>
      <c r="F20" s="153">
        <v>12.55</v>
      </c>
      <c r="G20" s="153">
        <v>12.99</v>
      </c>
      <c r="H20" s="153">
        <v>4.01</v>
      </c>
      <c r="I20" s="153">
        <v>182.25</v>
      </c>
      <c r="J20" s="153">
        <v>7.0000000000000007E-2</v>
      </c>
      <c r="K20" s="153">
        <v>0.11</v>
      </c>
      <c r="L20" s="153">
        <v>5.07</v>
      </c>
      <c r="M20" s="153">
        <v>1.49</v>
      </c>
      <c r="N20" s="153">
        <v>2.25</v>
      </c>
      <c r="O20" s="153">
        <v>30.52</v>
      </c>
      <c r="P20" s="153">
        <v>119.19</v>
      </c>
      <c r="Q20" s="153"/>
      <c r="R20" s="153"/>
      <c r="S20" s="153">
        <v>24.03</v>
      </c>
      <c r="T20" s="153">
        <v>2.1</v>
      </c>
    </row>
    <row r="21" spans="2:20" s="154" customFormat="1" ht="29.25" customHeight="1">
      <c r="B21" s="153">
        <v>203</v>
      </c>
      <c r="C21" s="315" t="s">
        <v>268</v>
      </c>
      <c r="D21" s="315"/>
      <c r="E21" s="153">
        <v>180</v>
      </c>
      <c r="F21" s="153">
        <v>6.84</v>
      </c>
      <c r="G21" s="153">
        <v>4.1159999999999997</v>
      </c>
      <c r="H21" s="153">
        <v>43.74</v>
      </c>
      <c r="I21" s="153">
        <v>239.364</v>
      </c>
      <c r="J21" s="153">
        <v>0.108</v>
      </c>
      <c r="K21" s="153">
        <v>3.5999999999999997E-2</v>
      </c>
      <c r="L21" s="153">
        <v>0</v>
      </c>
      <c r="M21" s="153">
        <v>3.5999999999999997E-2</v>
      </c>
      <c r="N21" s="153">
        <v>1.5</v>
      </c>
      <c r="O21" s="153">
        <v>15.94</v>
      </c>
      <c r="P21" s="153">
        <v>55.45</v>
      </c>
      <c r="Q21" s="153">
        <v>0.94</v>
      </c>
      <c r="R21" s="153">
        <v>2E-3</v>
      </c>
      <c r="S21" s="153">
        <v>10.16</v>
      </c>
      <c r="T21" s="153">
        <v>1.03</v>
      </c>
    </row>
    <row r="22" spans="2:20" s="154" customFormat="1" ht="18" customHeight="1">
      <c r="B22" s="153">
        <v>377</v>
      </c>
      <c r="C22" s="335" t="s">
        <v>70</v>
      </c>
      <c r="D22" s="336"/>
      <c r="E22" s="153" t="s">
        <v>269</v>
      </c>
      <c r="F22" s="153">
        <v>0.26</v>
      </c>
      <c r="G22" s="153">
        <v>0.06</v>
      </c>
      <c r="H22" s="153">
        <v>15.22</v>
      </c>
      <c r="I22" s="153">
        <v>62.5</v>
      </c>
      <c r="J22" s="153"/>
      <c r="K22" s="153">
        <v>0.01</v>
      </c>
      <c r="L22" s="153">
        <v>2.9</v>
      </c>
      <c r="M22" s="153">
        <v>0</v>
      </c>
      <c r="N22" s="153">
        <v>0.06</v>
      </c>
      <c r="O22" s="153">
        <v>8.0500000000000007</v>
      </c>
      <c r="P22" s="153">
        <v>9.7799999999999994</v>
      </c>
      <c r="Q22" s="153">
        <v>0.02</v>
      </c>
      <c r="R22" s="153">
        <v>0</v>
      </c>
      <c r="S22" s="153">
        <v>5.24</v>
      </c>
      <c r="T22" s="153">
        <v>0.87</v>
      </c>
    </row>
    <row r="23" spans="2:20" s="154" customFormat="1" ht="18" customHeight="1">
      <c r="B23" s="153" t="s">
        <v>270</v>
      </c>
      <c r="C23" s="335" t="s">
        <v>135</v>
      </c>
      <c r="D23" s="336"/>
      <c r="E23" s="153">
        <v>40</v>
      </c>
      <c r="F23" s="153">
        <v>2.64</v>
      </c>
      <c r="G23" s="153">
        <v>0.48</v>
      </c>
      <c r="H23" s="153">
        <v>13.68</v>
      </c>
      <c r="I23" s="153">
        <v>69.599999999999994</v>
      </c>
      <c r="J23" s="153">
        <v>0.08</v>
      </c>
      <c r="K23" s="153">
        <v>0.04</v>
      </c>
      <c r="L23" s="153">
        <v>0</v>
      </c>
      <c r="M23" s="153">
        <v>0</v>
      </c>
      <c r="N23" s="153">
        <v>2.4</v>
      </c>
      <c r="O23" s="153">
        <v>14</v>
      </c>
      <c r="P23" s="153">
        <v>63.2</v>
      </c>
      <c r="Q23" s="153">
        <v>1.2</v>
      </c>
      <c r="R23" s="153">
        <v>1E-3</v>
      </c>
      <c r="S23" s="153">
        <v>9.4</v>
      </c>
      <c r="T23" s="153">
        <v>0.78</v>
      </c>
    </row>
    <row r="24" spans="2:20" s="154" customFormat="1" ht="18" customHeight="1">
      <c r="B24" s="153" t="s">
        <v>270</v>
      </c>
      <c r="C24" s="335" t="s">
        <v>35</v>
      </c>
      <c r="D24" s="336"/>
      <c r="E24" s="153">
        <v>30</v>
      </c>
      <c r="F24" s="153">
        <v>1.52</v>
      </c>
      <c r="G24" s="153">
        <v>0.16</v>
      </c>
      <c r="H24" s="153">
        <v>9.84</v>
      </c>
      <c r="I24" s="153">
        <v>46.9</v>
      </c>
      <c r="J24" s="153">
        <v>0.02</v>
      </c>
      <c r="K24" s="153">
        <v>0.01</v>
      </c>
      <c r="L24" s="153">
        <v>0.44</v>
      </c>
      <c r="M24" s="153">
        <v>0</v>
      </c>
      <c r="N24" s="153">
        <v>0.7</v>
      </c>
      <c r="O24" s="153">
        <v>4</v>
      </c>
      <c r="P24" s="153">
        <v>13</v>
      </c>
      <c r="Q24" s="153">
        <v>8.0000000000000002E-3</v>
      </c>
      <c r="R24" s="153">
        <v>1E-3</v>
      </c>
      <c r="S24" s="153">
        <v>0</v>
      </c>
      <c r="T24" s="153">
        <v>0.22</v>
      </c>
    </row>
    <row r="25" spans="2:20" s="154" customFormat="1" ht="27.75" customHeight="1">
      <c r="B25" s="337" t="s">
        <v>271</v>
      </c>
      <c r="C25" s="338"/>
      <c r="D25" s="339"/>
      <c r="E25" s="164">
        <f>E18+E20+E21+E23+E24+260+204</f>
        <v>914</v>
      </c>
      <c r="F25" s="164">
        <f>SUM(F18:F24)</f>
        <v>30.8</v>
      </c>
      <c r="G25" s="164">
        <f t="shared" ref="G25:T25" si="2">SUM(G18:G24)</f>
        <v>25.268999999999998</v>
      </c>
      <c r="H25" s="164">
        <f t="shared" si="2"/>
        <v>112.15</v>
      </c>
      <c r="I25" s="164">
        <f t="shared" si="2"/>
        <v>798.34699999999998</v>
      </c>
      <c r="J25" s="164">
        <f t="shared" si="2"/>
        <v>0.60799999999999998</v>
      </c>
      <c r="K25" s="164">
        <f t="shared" si="2"/>
        <v>0.32300000000000001</v>
      </c>
      <c r="L25" s="164">
        <f t="shared" si="2"/>
        <v>34.242999999999995</v>
      </c>
      <c r="M25" s="164">
        <f t="shared" si="2"/>
        <v>1.6440000000000001</v>
      </c>
      <c r="N25" s="164">
        <f t="shared" si="2"/>
        <v>7.4099999999999993</v>
      </c>
      <c r="O25" s="164">
        <f t="shared" si="2"/>
        <v>157.59</v>
      </c>
      <c r="P25" s="164">
        <f t="shared" si="2"/>
        <v>292.12</v>
      </c>
      <c r="Q25" s="164">
        <f t="shared" si="2"/>
        <v>2.4980000000000002</v>
      </c>
      <c r="R25" s="164">
        <f t="shared" si="2"/>
        <v>6.0000000000000001E-3</v>
      </c>
      <c r="S25" s="164">
        <f t="shared" si="2"/>
        <v>101.63</v>
      </c>
      <c r="T25" s="164">
        <f t="shared" si="2"/>
        <v>8.0300000000000011</v>
      </c>
    </row>
    <row r="26" spans="2:20" s="154" customFormat="1" ht="18" customHeight="1">
      <c r="B26" s="311" t="s">
        <v>265</v>
      </c>
      <c r="C26" s="311"/>
      <c r="D26" s="311"/>
      <c r="E26" s="311"/>
      <c r="F26" s="172">
        <f t="shared" ref="F26:T26" si="3">F25/F33</f>
        <v>0.34222222222222221</v>
      </c>
      <c r="G26" s="172">
        <f t="shared" si="3"/>
        <v>0.27466304347826087</v>
      </c>
      <c r="H26" s="172">
        <f t="shared" si="3"/>
        <v>0.29281984334203659</v>
      </c>
      <c r="I26" s="172">
        <f t="shared" si="3"/>
        <v>0.29350992647058821</v>
      </c>
      <c r="J26" s="172">
        <f t="shared" si="3"/>
        <v>0.43428571428571427</v>
      </c>
      <c r="K26" s="172">
        <f t="shared" si="3"/>
        <v>0.201875</v>
      </c>
      <c r="L26" s="172">
        <f t="shared" si="3"/>
        <v>0.48918571428571422</v>
      </c>
      <c r="M26" s="172">
        <f t="shared" si="3"/>
        <v>1.8266666666666667</v>
      </c>
      <c r="N26" s="172">
        <f t="shared" si="3"/>
        <v>0.61749999999999994</v>
      </c>
      <c r="O26" s="172">
        <f t="shared" si="3"/>
        <v>0.131325</v>
      </c>
      <c r="P26" s="172">
        <f t="shared" si="3"/>
        <v>0.24343333333333333</v>
      </c>
      <c r="Q26" s="172">
        <f t="shared" si="3"/>
        <v>0.17842857142857144</v>
      </c>
      <c r="R26" s="172">
        <f t="shared" si="3"/>
        <v>0.06</v>
      </c>
      <c r="S26" s="172">
        <f t="shared" si="3"/>
        <v>0.33876666666666666</v>
      </c>
      <c r="T26" s="172">
        <f t="shared" si="3"/>
        <v>0.44611111111111118</v>
      </c>
    </row>
    <row r="27" spans="2:20" s="154" customFormat="1" ht="18" customHeight="1">
      <c r="B27" s="323" t="s">
        <v>272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</row>
    <row r="28" spans="2:20" s="154" customFormat="1" ht="18" customHeight="1">
      <c r="B28" s="153" t="s">
        <v>270</v>
      </c>
      <c r="C28" s="315" t="s">
        <v>400</v>
      </c>
      <c r="D28" s="315"/>
      <c r="E28" s="153">
        <v>100</v>
      </c>
      <c r="F28" s="153">
        <v>7.86</v>
      </c>
      <c r="G28" s="153">
        <v>5.57</v>
      </c>
      <c r="H28" s="153">
        <v>53.71</v>
      </c>
      <c r="I28" s="153">
        <v>297.14</v>
      </c>
      <c r="J28" s="153">
        <v>0.1</v>
      </c>
      <c r="K28" s="153">
        <v>0.04</v>
      </c>
      <c r="L28" s="153">
        <v>0</v>
      </c>
      <c r="M28" s="153">
        <v>0.1</v>
      </c>
      <c r="N28" s="153"/>
      <c r="O28" s="153">
        <v>16.170000000000002</v>
      </c>
      <c r="P28" s="153">
        <v>0</v>
      </c>
      <c r="Q28" s="153">
        <v>0</v>
      </c>
      <c r="R28" s="153">
        <v>0</v>
      </c>
      <c r="S28" s="153">
        <v>11.19</v>
      </c>
      <c r="T28" s="153">
        <v>0.9</v>
      </c>
    </row>
    <row r="29" spans="2:20" s="154" customFormat="1" ht="25.5" customHeight="1">
      <c r="B29" s="146">
        <v>349</v>
      </c>
      <c r="C29" s="316" t="s">
        <v>287</v>
      </c>
      <c r="D29" s="316"/>
      <c r="E29" s="146">
        <v>200</v>
      </c>
      <c r="F29" s="146">
        <v>0.22</v>
      </c>
      <c r="G29" s="146">
        <v>0</v>
      </c>
      <c r="H29" s="146">
        <v>24.42</v>
      </c>
      <c r="I29" s="146">
        <v>98.56</v>
      </c>
      <c r="J29" s="146"/>
      <c r="K29" s="146"/>
      <c r="L29" s="146">
        <v>0.2</v>
      </c>
      <c r="M29" s="146"/>
      <c r="N29" s="146"/>
      <c r="O29" s="146">
        <v>22.6</v>
      </c>
      <c r="P29" s="146">
        <v>7.7</v>
      </c>
      <c r="Q29" s="146">
        <v>0</v>
      </c>
      <c r="R29" s="146">
        <v>0</v>
      </c>
      <c r="S29" s="146">
        <v>3</v>
      </c>
      <c r="T29" s="146">
        <v>0.66</v>
      </c>
    </row>
    <row r="30" spans="2:20" s="154" customFormat="1" ht="18" customHeight="1">
      <c r="B30" s="312" t="s">
        <v>274</v>
      </c>
      <c r="C30" s="313"/>
      <c r="D30" s="314"/>
      <c r="E30" s="164">
        <f>E28+E29</f>
        <v>300</v>
      </c>
      <c r="F30" s="164">
        <f t="shared" ref="F30:T30" si="4">F28+F29</f>
        <v>8.08</v>
      </c>
      <c r="G30" s="164">
        <f t="shared" si="4"/>
        <v>5.57</v>
      </c>
      <c r="H30" s="164">
        <f t="shared" si="4"/>
        <v>78.13</v>
      </c>
      <c r="I30" s="164">
        <f t="shared" si="4"/>
        <v>395.7</v>
      </c>
      <c r="J30" s="164">
        <f t="shared" si="4"/>
        <v>0.1</v>
      </c>
      <c r="K30" s="164">
        <f t="shared" si="4"/>
        <v>0.04</v>
      </c>
      <c r="L30" s="164">
        <f t="shared" si="4"/>
        <v>0.2</v>
      </c>
      <c r="M30" s="164">
        <f t="shared" si="4"/>
        <v>0.1</v>
      </c>
      <c r="N30" s="164">
        <f t="shared" si="4"/>
        <v>0</v>
      </c>
      <c r="O30" s="164">
        <f t="shared" si="4"/>
        <v>38.770000000000003</v>
      </c>
      <c r="P30" s="164">
        <f t="shared" si="4"/>
        <v>7.7</v>
      </c>
      <c r="Q30" s="164">
        <f t="shared" si="4"/>
        <v>0</v>
      </c>
      <c r="R30" s="164">
        <f t="shared" si="4"/>
        <v>0</v>
      </c>
      <c r="S30" s="164">
        <f t="shared" si="4"/>
        <v>14.19</v>
      </c>
      <c r="T30" s="164">
        <f t="shared" si="4"/>
        <v>1.56</v>
      </c>
    </row>
    <row r="31" spans="2:20" s="154" customFormat="1" ht="18" customHeight="1">
      <c r="B31" s="311" t="s">
        <v>265</v>
      </c>
      <c r="C31" s="311"/>
      <c r="D31" s="311"/>
      <c r="E31" s="311"/>
      <c r="F31" s="172">
        <f>F30/F33</f>
        <v>8.9777777777777776E-2</v>
      </c>
      <c r="G31" s="172">
        <v>5.8000000000000003E-2</v>
      </c>
      <c r="H31" s="172">
        <v>0.122</v>
      </c>
      <c r="I31" s="172">
        <v>9.6000000000000002E-2</v>
      </c>
      <c r="J31" s="172">
        <v>5.7000000000000002E-2</v>
      </c>
      <c r="K31" s="172">
        <v>0.188</v>
      </c>
      <c r="L31" s="172">
        <v>0.66400000000000003</v>
      </c>
      <c r="M31" s="172">
        <v>8.8999999999999996E-2</v>
      </c>
      <c r="N31" s="172">
        <v>0.1</v>
      </c>
      <c r="O31" s="172">
        <v>0.23200000000000001</v>
      </c>
      <c r="P31" s="172">
        <v>0.17399999999999999</v>
      </c>
      <c r="Q31" s="172">
        <v>4.7E-2</v>
      </c>
      <c r="R31" s="172">
        <v>0.03</v>
      </c>
      <c r="S31" s="172">
        <v>0.14399999999999999</v>
      </c>
      <c r="T31" s="172">
        <v>0.122</v>
      </c>
    </row>
    <row r="32" spans="2:20" s="154" customFormat="1" ht="18" customHeight="1">
      <c r="B32" s="311" t="s">
        <v>275</v>
      </c>
      <c r="C32" s="311"/>
      <c r="D32" s="311"/>
      <c r="E32" s="311"/>
      <c r="F32" s="164">
        <f>F14+F25+F30</f>
        <v>59.497999999999998</v>
      </c>
      <c r="G32" s="164">
        <f t="shared" ref="G32:T32" si="5">G14+G25+G30</f>
        <v>54.321999999999996</v>
      </c>
      <c r="H32" s="164">
        <f t="shared" si="5"/>
        <v>281.27999999999997</v>
      </c>
      <c r="I32" s="164">
        <f t="shared" si="5"/>
        <v>1844.4570000000001</v>
      </c>
      <c r="J32" s="164">
        <f t="shared" si="5"/>
        <v>1.133</v>
      </c>
      <c r="K32" s="164">
        <f t="shared" si="5"/>
        <v>0.71300000000000008</v>
      </c>
      <c r="L32" s="164">
        <f t="shared" si="5"/>
        <v>48.688000000000002</v>
      </c>
      <c r="M32" s="164">
        <f t="shared" si="5"/>
        <v>1.9300000000000002</v>
      </c>
      <c r="N32" s="164">
        <f t="shared" si="5"/>
        <v>8.8099999999999987</v>
      </c>
      <c r="O32" s="164">
        <f t="shared" si="5"/>
        <v>677.18500000000006</v>
      </c>
      <c r="P32" s="164">
        <f t="shared" si="5"/>
        <v>893.19500000000005</v>
      </c>
      <c r="Q32" s="164">
        <f t="shared" si="5"/>
        <v>4.306</v>
      </c>
      <c r="R32" s="164">
        <f t="shared" si="5"/>
        <v>6.3E-2</v>
      </c>
      <c r="S32" s="164">
        <f t="shared" si="5"/>
        <v>238.733</v>
      </c>
      <c r="T32" s="164">
        <f t="shared" si="5"/>
        <v>15.403000000000002</v>
      </c>
    </row>
    <row r="33" spans="2:20" s="154" customFormat="1" ht="18" customHeight="1">
      <c r="B33" s="311" t="s">
        <v>276</v>
      </c>
      <c r="C33" s="311"/>
      <c r="D33" s="311"/>
      <c r="E33" s="311"/>
      <c r="F33" s="153">
        <v>90</v>
      </c>
      <c r="G33" s="153">
        <v>92</v>
      </c>
      <c r="H33" s="153">
        <v>383</v>
      </c>
      <c r="I33" s="153">
        <v>2720</v>
      </c>
      <c r="J33" s="153">
        <v>1.4</v>
      </c>
      <c r="K33" s="153">
        <v>1.6</v>
      </c>
      <c r="L33" s="153">
        <v>70</v>
      </c>
      <c r="M33" s="153">
        <v>0.9</v>
      </c>
      <c r="N33" s="153">
        <v>12</v>
      </c>
      <c r="O33" s="153">
        <v>1200</v>
      </c>
      <c r="P33" s="153">
        <v>1200</v>
      </c>
      <c r="Q33" s="153">
        <v>14</v>
      </c>
      <c r="R33" s="153">
        <v>0.1</v>
      </c>
      <c r="S33" s="153">
        <v>300</v>
      </c>
      <c r="T33" s="153">
        <v>18</v>
      </c>
    </row>
    <row r="34" spans="2:20" s="154" customFormat="1" ht="18" customHeight="1">
      <c r="B34" s="311" t="s">
        <v>265</v>
      </c>
      <c r="C34" s="311"/>
      <c r="D34" s="311"/>
      <c r="E34" s="311"/>
      <c r="F34" s="172">
        <f>F32/F33</f>
        <v>0.66108888888888884</v>
      </c>
      <c r="G34" s="172">
        <f t="shared" ref="G34:T34" si="6">G32/G33</f>
        <v>0.59045652173913044</v>
      </c>
      <c r="H34" s="172">
        <f t="shared" si="6"/>
        <v>0.73441253263707562</v>
      </c>
      <c r="I34" s="172">
        <f t="shared" si="6"/>
        <v>0.67810919117647062</v>
      </c>
      <c r="J34" s="172">
        <f t="shared" si="6"/>
        <v>0.80928571428571439</v>
      </c>
      <c r="K34" s="172">
        <f t="shared" si="6"/>
        <v>0.44562500000000005</v>
      </c>
      <c r="L34" s="172">
        <f t="shared" si="6"/>
        <v>0.69554285714285713</v>
      </c>
      <c r="M34" s="172">
        <f t="shared" si="6"/>
        <v>2.1444444444444444</v>
      </c>
      <c r="N34" s="172">
        <f t="shared" si="6"/>
        <v>0.73416666666666652</v>
      </c>
      <c r="O34" s="172">
        <f t="shared" si="6"/>
        <v>0.56432083333333338</v>
      </c>
      <c r="P34" s="172">
        <f t="shared" si="6"/>
        <v>0.74432916666666671</v>
      </c>
      <c r="Q34" s="172">
        <f t="shared" si="6"/>
        <v>0.30757142857142855</v>
      </c>
      <c r="R34" s="172">
        <f t="shared" si="6"/>
        <v>0.63</v>
      </c>
      <c r="S34" s="172">
        <f t="shared" si="6"/>
        <v>0.79577666666666669</v>
      </c>
      <c r="T34" s="172">
        <f t="shared" si="6"/>
        <v>0.85572222222222238</v>
      </c>
    </row>
    <row r="35" spans="2:20" s="154" customFormat="1" ht="18" customHeight="1">
      <c r="B35" s="165"/>
      <c r="C35" s="153"/>
      <c r="D35" s="153"/>
      <c r="E35" s="153"/>
      <c r="F35" s="168"/>
      <c r="G35" s="153"/>
      <c r="H35" s="153"/>
      <c r="I35" s="153"/>
      <c r="J35" s="153"/>
      <c r="K35" s="153"/>
      <c r="L35" s="153"/>
      <c r="M35" s="324" t="s">
        <v>229</v>
      </c>
      <c r="N35" s="324"/>
      <c r="O35" s="324"/>
      <c r="P35" s="324"/>
      <c r="Q35" s="324"/>
      <c r="R35" s="324"/>
      <c r="S35" s="324"/>
      <c r="T35" s="324"/>
    </row>
    <row r="36" spans="2:20" s="154" customFormat="1" ht="18" customHeight="1">
      <c r="B36" s="323" t="s">
        <v>277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</row>
    <row r="37" spans="2:20" s="154" customFormat="1" ht="18" customHeight="1">
      <c r="B37" s="311" t="s">
        <v>231</v>
      </c>
      <c r="C37" s="311"/>
      <c r="D37" s="153"/>
      <c r="E37" s="153"/>
      <c r="F37" s="153"/>
      <c r="G37" s="324" t="s">
        <v>278</v>
      </c>
      <c r="H37" s="324"/>
      <c r="I37" s="324"/>
      <c r="J37" s="153"/>
      <c r="K37" s="153"/>
      <c r="L37" s="311" t="s">
        <v>233</v>
      </c>
      <c r="M37" s="311"/>
      <c r="N37" s="324" t="s">
        <v>234</v>
      </c>
      <c r="O37" s="324"/>
      <c r="P37" s="324"/>
      <c r="Q37" s="324"/>
      <c r="R37" s="153"/>
      <c r="S37" s="153"/>
      <c r="T37" s="153"/>
    </row>
    <row r="38" spans="2:20" s="154" customFormat="1" ht="18" customHeight="1">
      <c r="B38" s="153"/>
      <c r="C38" s="153"/>
      <c r="D38" s="153"/>
      <c r="E38" s="323" t="s">
        <v>235</v>
      </c>
      <c r="F38" s="323"/>
      <c r="G38" s="153">
        <v>1</v>
      </c>
      <c r="H38" s="153"/>
      <c r="I38" s="153"/>
      <c r="J38" s="153"/>
      <c r="K38" s="153"/>
      <c r="L38" s="311" t="s">
        <v>236</v>
      </c>
      <c r="M38" s="311"/>
      <c r="N38" s="324" t="s">
        <v>320</v>
      </c>
      <c r="O38" s="324"/>
      <c r="P38" s="324"/>
      <c r="Q38" s="324"/>
      <c r="R38" s="324"/>
      <c r="S38" s="324"/>
      <c r="T38" s="324"/>
    </row>
    <row r="39" spans="2:20" s="154" customFormat="1" ht="18" customHeight="1">
      <c r="B39" s="166" t="s">
        <v>279</v>
      </c>
      <c r="C39" s="340" t="s">
        <v>239</v>
      </c>
      <c r="D39" s="340"/>
      <c r="E39" s="340" t="s">
        <v>240</v>
      </c>
      <c r="F39" s="340" t="s">
        <v>241</v>
      </c>
      <c r="G39" s="340"/>
      <c r="H39" s="340"/>
      <c r="I39" s="166" t="s">
        <v>242</v>
      </c>
      <c r="J39" s="340" t="s">
        <v>244</v>
      </c>
      <c r="K39" s="340"/>
      <c r="L39" s="340"/>
      <c r="M39" s="340"/>
      <c r="N39" s="340"/>
      <c r="O39" s="340" t="s">
        <v>245</v>
      </c>
      <c r="P39" s="340"/>
      <c r="Q39" s="340"/>
      <c r="R39" s="340"/>
      <c r="S39" s="340"/>
      <c r="T39" s="340"/>
    </row>
    <row r="40" spans="2:20" s="154" customFormat="1" ht="18" customHeight="1">
      <c r="B40" s="166" t="s">
        <v>280</v>
      </c>
      <c r="C40" s="340"/>
      <c r="D40" s="340"/>
      <c r="E40" s="340"/>
      <c r="F40" s="166" t="s">
        <v>246</v>
      </c>
      <c r="G40" s="166" t="s">
        <v>247</v>
      </c>
      <c r="H40" s="166" t="s">
        <v>248</v>
      </c>
      <c r="I40" s="166" t="s">
        <v>243</v>
      </c>
      <c r="J40" s="166" t="s">
        <v>249</v>
      </c>
      <c r="K40" s="166" t="s">
        <v>250</v>
      </c>
      <c r="L40" s="166" t="s">
        <v>251</v>
      </c>
      <c r="M40" s="166" t="s">
        <v>252</v>
      </c>
      <c r="N40" s="166" t="s">
        <v>253</v>
      </c>
      <c r="O40" s="166" t="s">
        <v>254</v>
      </c>
      <c r="P40" s="166" t="s">
        <v>255</v>
      </c>
      <c r="Q40" s="166" t="s">
        <v>256</v>
      </c>
      <c r="R40" s="166" t="s">
        <v>257</v>
      </c>
      <c r="S40" s="166" t="s">
        <v>258</v>
      </c>
      <c r="T40" s="166" t="s">
        <v>259</v>
      </c>
    </row>
    <row r="41" spans="2:20" s="154" customFormat="1" ht="18" customHeight="1">
      <c r="B41" s="167">
        <v>1</v>
      </c>
      <c r="C41" s="325">
        <v>2</v>
      </c>
      <c r="D41" s="325"/>
      <c r="E41" s="167">
        <v>3</v>
      </c>
      <c r="F41" s="167">
        <v>4</v>
      </c>
      <c r="G41" s="167">
        <v>5</v>
      </c>
      <c r="H41" s="167">
        <v>6</v>
      </c>
      <c r="I41" s="167">
        <v>7</v>
      </c>
      <c r="J41" s="167">
        <v>8</v>
      </c>
      <c r="K41" s="167">
        <v>9</v>
      </c>
      <c r="L41" s="167">
        <v>10</v>
      </c>
      <c r="M41" s="167">
        <v>11</v>
      </c>
      <c r="N41" s="167">
        <v>12</v>
      </c>
      <c r="O41" s="167">
        <v>13</v>
      </c>
      <c r="P41" s="167">
        <v>14</v>
      </c>
      <c r="Q41" s="167">
        <v>15</v>
      </c>
      <c r="R41" s="167">
        <v>16</v>
      </c>
      <c r="S41" s="167">
        <v>17</v>
      </c>
      <c r="T41" s="167">
        <v>18</v>
      </c>
    </row>
    <row r="42" spans="2:20" s="154" customFormat="1" ht="18" customHeight="1">
      <c r="B42" s="323" t="s">
        <v>281</v>
      </c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</row>
    <row r="43" spans="2:20" s="154" customFormat="1" ht="18" customHeight="1">
      <c r="B43" s="148" t="s">
        <v>324</v>
      </c>
      <c r="C43" s="316" t="s">
        <v>224</v>
      </c>
      <c r="D43" s="316"/>
      <c r="E43" s="146">
        <v>40</v>
      </c>
      <c r="F43" s="146">
        <v>0.4</v>
      </c>
      <c r="G43" s="146">
        <v>1.8</v>
      </c>
      <c r="H43" s="146">
        <v>5.8</v>
      </c>
      <c r="I43" s="148">
        <v>40</v>
      </c>
      <c r="J43" s="146">
        <v>0.01</v>
      </c>
      <c r="K43" s="146">
        <v>0.01</v>
      </c>
      <c r="L43" s="146">
        <v>1.53</v>
      </c>
      <c r="M43" s="146">
        <v>0.01</v>
      </c>
      <c r="N43" s="146"/>
      <c r="O43" s="146">
        <v>8.19</v>
      </c>
      <c r="P43" s="146">
        <v>0</v>
      </c>
      <c r="Q43" s="146"/>
      <c r="R43" s="146">
        <v>0</v>
      </c>
      <c r="S43" s="146">
        <v>4.68</v>
      </c>
      <c r="T43" s="146">
        <v>0.21</v>
      </c>
    </row>
    <row r="44" spans="2:20" s="154" customFormat="1" ht="30.75" customHeight="1">
      <c r="B44" s="163">
        <v>71</v>
      </c>
      <c r="C44" s="315" t="s">
        <v>282</v>
      </c>
      <c r="D44" s="315"/>
      <c r="E44" s="163">
        <v>40</v>
      </c>
      <c r="F44" s="163">
        <v>0.33</v>
      </c>
      <c r="G44" s="163">
        <v>0.04</v>
      </c>
      <c r="H44" s="163">
        <v>1.1299999999999999</v>
      </c>
      <c r="I44" s="163">
        <v>6.23</v>
      </c>
      <c r="J44" s="163">
        <v>8.9999999999999993E-3</v>
      </c>
      <c r="K44" s="163">
        <v>0.01</v>
      </c>
      <c r="L44" s="163">
        <v>3</v>
      </c>
      <c r="M44" s="163">
        <v>3.0000000000000001E-3</v>
      </c>
      <c r="N44" s="163">
        <v>0.03</v>
      </c>
      <c r="O44" s="163">
        <v>6.9</v>
      </c>
      <c r="P44" s="163">
        <v>12.6</v>
      </c>
      <c r="Q44" s="163">
        <v>6.4000000000000001E-2</v>
      </c>
      <c r="R44" s="163">
        <v>1E-3</v>
      </c>
      <c r="S44" s="163">
        <v>4.2</v>
      </c>
      <c r="T44" s="163">
        <v>0.18</v>
      </c>
    </row>
    <row r="45" spans="2:20" s="154" customFormat="1" ht="27" customHeight="1">
      <c r="B45" s="148" t="s">
        <v>325</v>
      </c>
      <c r="C45" s="316" t="s">
        <v>214</v>
      </c>
      <c r="D45" s="316"/>
      <c r="E45" s="163">
        <v>100</v>
      </c>
      <c r="F45" s="163">
        <v>11.4</v>
      </c>
      <c r="G45" s="163">
        <v>11.2</v>
      </c>
      <c r="H45" s="163">
        <v>13.5</v>
      </c>
      <c r="I45" s="163">
        <v>202</v>
      </c>
      <c r="J45" s="163">
        <v>0.08</v>
      </c>
      <c r="K45" s="163">
        <v>0.13</v>
      </c>
      <c r="L45" s="163">
        <v>1</v>
      </c>
      <c r="M45" s="163">
        <v>0.08</v>
      </c>
      <c r="N45" s="163"/>
      <c r="O45" s="163">
        <v>32</v>
      </c>
      <c r="P45" s="163">
        <v>0</v>
      </c>
      <c r="Q45" s="163"/>
      <c r="R45" s="163">
        <v>0</v>
      </c>
      <c r="S45" s="163">
        <v>26.1</v>
      </c>
      <c r="T45" s="163">
        <v>1.19</v>
      </c>
    </row>
    <row r="46" spans="2:20" s="154" customFormat="1" ht="27" customHeight="1">
      <c r="B46" s="153">
        <v>304</v>
      </c>
      <c r="C46" s="315" t="s">
        <v>283</v>
      </c>
      <c r="D46" s="315"/>
      <c r="E46" s="153">
        <v>180</v>
      </c>
      <c r="F46" s="153">
        <v>4.4400000000000004</v>
      </c>
      <c r="G46" s="153">
        <v>6.44</v>
      </c>
      <c r="H46" s="153">
        <v>44.02</v>
      </c>
      <c r="I46" s="153">
        <v>251.82</v>
      </c>
      <c r="J46" s="153">
        <v>0.04</v>
      </c>
      <c r="K46" s="153">
        <v>0.02</v>
      </c>
      <c r="L46" s="153">
        <v>0</v>
      </c>
      <c r="M46" s="153">
        <v>0.05</v>
      </c>
      <c r="N46" s="153">
        <v>0</v>
      </c>
      <c r="O46" s="153">
        <v>17.899999999999999</v>
      </c>
      <c r="P46" s="153">
        <v>95.3</v>
      </c>
      <c r="Q46" s="153">
        <v>0</v>
      </c>
      <c r="R46" s="153">
        <v>1.1999999999999999E-3</v>
      </c>
      <c r="S46" s="153">
        <v>33.5</v>
      </c>
      <c r="T46" s="153">
        <v>0.71</v>
      </c>
    </row>
    <row r="47" spans="2:20" s="154" customFormat="1" ht="18" customHeight="1">
      <c r="B47" s="153">
        <v>379</v>
      </c>
      <c r="C47" s="315" t="s">
        <v>284</v>
      </c>
      <c r="D47" s="315"/>
      <c r="E47" s="153">
        <v>200</v>
      </c>
      <c r="F47" s="153">
        <v>3.17</v>
      </c>
      <c r="G47" s="153">
        <v>2.68</v>
      </c>
      <c r="H47" s="153">
        <v>15.95</v>
      </c>
      <c r="I47" s="153">
        <v>100.6</v>
      </c>
      <c r="J47" s="153">
        <v>0.04</v>
      </c>
      <c r="K47" s="153">
        <v>0.15</v>
      </c>
      <c r="L47" s="153">
        <v>1.3</v>
      </c>
      <c r="M47" s="153">
        <v>0.03</v>
      </c>
      <c r="N47" s="153">
        <v>0.06</v>
      </c>
      <c r="O47" s="153">
        <v>120.4</v>
      </c>
      <c r="P47" s="153">
        <v>90</v>
      </c>
      <c r="Q47" s="153">
        <v>1.1000000000000001</v>
      </c>
      <c r="R47" s="153">
        <v>0.01</v>
      </c>
      <c r="S47" s="153">
        <v>14</v>
      </c>
      <c r="T47" s="153">
        <v>0.12</v>
      </c>
    </row>
    <row r="48" spans="2:20" s="154" customFormat="1" ht="18" customHeight="1">
      <c r="B48" s="153">
        <v>0.08</v>
      </c>
      <c r="C48" s="315" t="s">
        <v>88</v>
      </c>
      <c r="D48" s="315"/>
      <c r="E48" s="153">
        <v>40</v>
      </c>
      <c r="F48" s="153">
        <v>3.04</v>
      </c>
      <c r="G48" s="153">
        <v>0.32</v>
      </c>
      <c r="H48" s="153">
        <v>19.68</v>
      </c>
      <c r="I48" s="153">
        <v>93.8</v>
      </c>
      <c r="J48" s="153">
        <v>0.04</v>
      </c>
      <c r="K48" s="153">
        <v>0.01</v>
      </c>
      <c r="L48" s="153">
        <v>0.88</v>
      </c>
      <c r="M48" s="153">
        <v>0</v>
      </c>
      <c r="N48" s="153">
        <v>0.7</v>
      </c>
      <c r="O48" s="153">
        <v>8</v>
      </c>
      <c r="P48" s="153">
        <v>26</v>
      </c>
      <c r="Q48" s="153">
        <v>8.0000000000000002E-3</v>
      </c>
      <c r="R48" s="153">
        <v>3.0000000000000001E-3</v>
      </c>
      <c r="S48" s="153">
        <v>0</v>
      </c>
      <c r="T48" s="153">
        <v>0.44</v>
      </c>
    </row>
    <row r="49" spans="2:20" s="154" customFormat="1" ht="18" customHeight="1">
      <c r="B49" s="312" t="s">
        <v>285</v>
      </c>
      <c r="C49" s="313"/>
      <c r="D49" s="314"/>
      <c r="E49" s="164">
        <f>SUM(E44:E48)</f>
        <v>560</v>
      </c>
      <c r="F49" s="164">
        <f t="shared" ref="F49:T49" si="7">SUM(F44:F48)</f>
        <v>22.380000000000003</v>
      </c>
      <c r="G49" s="164">
        <f t="shared" si="7"/>
        <v>20.68</v>
      </c>
      <c r="H49" s="164">
        <f t="shared" si="7"/>
        <v>94.28</v>
      </c>
      <c r="I49" s="164">
        <f t="shared" si="7"/>
        <v>654.44999999999993</v>
      </c>
      <c r="J49" s="164">
        <f t="shared" si="7"/>
        <v>0.20900000000000002</v>
      </c>
      <c r="K49" s="164">
        <f t="shared" si="7"/>
        <v>0.32</v>
      </c>
      <c r="L49" s="164">
        <f t="shared" si="7"/>
        <v>6.18</v>
      </c>
      <c r="M49" s="164">
        <f t="shared" si="7"/>
        <v>0.16300000000000001</v>
      </c>
      <c r="N49" s="164">
        <f t="shared" si="7"/>
        <v>0.78999999999999992</v>
      </c>
      <c r="O49" s="164">
        <f t="shared" si="7"/>
        <v>185.2</v>
      </c>
      <c r="P49" s="164">
        <f t="shared" si="7"/>
        <v>223.89999999999998</v>
      </c>
      <c r="Q49" s="164">
        <f t="shared" si="7"/>
        <v>1.1720000000000002</v>
      </c>
      <c r="R49" s="164">
        <f t="shared" si="7"/>
        <v>1.5199999999999998E-2</v>
      </c>
      <c r="S49" s="164">
        <f t="shared" si="7"/>
        <v>77.8</v>
      </c>
      <c r="T49" s="164">
        <f t="shared" si="7"/>
        <v>2.64</v>
      </c>
    </row>
    <row r="50" spans="2:20" s="154" customFormat="1" ht="18" customHeight="1">
      <c r="B50" s="311" t="s">
        <v>265</v>
      </c>
      <c r="C50" s="311"/>
      <c r="D50" s="311"/>
      <c r="E50" s="311"/>
      <c r="F50" s="172">
        <f t="shared" ref="F50:T50" si="8">F49/F67</f>
        <v>0.2486666666666667</v>
      </c>
      <c r="G50" s="172">
        <f t="shared" si="8"/>
        <v>0.22478260869565217</v>
      </c>
      <c r="H50" s="172">
        <f t="shared" si="8"/>
        <v>0.24616187989556135</v>
      </c>
      <c r="I50" s="172">
        <f t="shared" si="8"/>
        <v>0.24060661764705879</v>
      </c>
      <c r="J50" s="172">
        <f t="shared" si="8"/>
        <v>0.1492857142857143</v>
      </c>
      <c r="K50" s="172">
        <f t="shared" si="8"/>
        <v>0.19999999999999998</v>
      </c>
      <c r="L50" s="172">
        <f t="shared" si="8"/>
        <v>8.8285714285714287E-2</v>
      </c>
      <c r="M50" s="172">
        <f t="shared" si="8"/>
        <v>0.18111111111111111</v>
      </c>
      <c r="N50" s="172">
        <f t="shared" si="8"/>
        <v>6.5833333333333327E-2</v>
      </c>
      <c r="O50" s="172">
        <f t="shared" si="8"/>
        <v>0.15433333333333332</v>
      </c>
      <c r="P50" s="172">
        <f t="shared" si="8"/>
        <v>0.18658333333333332</v>
      </c>
      <c r="Q50" s="172">
        <f t="shared" si="8"/>
        <v>8.3714285714285727E-2</v>
      </c>
      <c r="R50" s="172">
        <f t="shared" si="8"/>
        <v>0.15199999999999997</v>
      </c>
      <c r="S50" s="172">
        <f t="shared" si="8"/>
        <v>0.2593333333333333</v>
      </c>
      <c r="T50" s="172">
        <f t="shared" si="8"/>
        <v>0.14666666666666667</v>
      </c>
    </row>
    <row r="51" spans="2:20" s="154" customFormat="1" ht="18" customHeight="1">
      <c r="B51" s="323" t="s">
        <v>266</v>
      </c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</row>
    <row r="52" spans="2:20" s="154" customFormat="1" ht="26.25" customHeight="1">
      <c r="B52" s="153">
        <v>52</v>
      </c>
      <c r="C52" s="315" t="s">
        <v>136</v>
      </c>
      <c r="D52" s="315"/>
      <c r="E52" s="153">
        <v>100</v>
      </c>
      <c r="F52" s="153">
        <v>1.43</v>
      </c>
      <c r="G52" s="153">
        <v>5.08</v>
      </c>
      <c r="H52" s="153">
        <v>8.5500000000000007</v>
      </c>
      <c r="I52" s="153">
        <v>85.68</v>
      </c>
      <c r="J52" s="153">
        <v>0.02</v>
      </c>
      <c r="K52" s="153">
        <v>0.03</v>
      </c>
      <c r="L52" s="153">
        <v>9.5</v>
      </c>
      <c r="M52" s="153">
        <v>0.02</v>
      </c>
      <c r="N52" s="153">
        <v>0.17</v>
      </c>
      <c r="O52" s="153">
        <v>44.35</v>
      </c>
      <c r="P52" s="153">
        <v>42.73</v>
      </c>
      <c r="Q52" s="153">
        <v>0.72</v>
      </c>
      <c r="R52" s="153">
        <v>1.7000000000000001E-2</v>
      </c>
      <c r="S52" s="153">
        <v>21.5</v>
      </c>
      <c r="T52" s="153">
        <v>1.4</v>
      </c>
    </row>
    <row r="53" spans="2:20" s="154" customFormat="1" ht="27" customHeight="1">
      <c r="B53" s="146">
        <v>101</v>
      </c>
      <c r="C53" s="316" t="s">
        <v>338</v>
      </c>
      <c r="D53" s="316"/>
      <c r="E53" s="153">
        <v>250</v>
      </c>
      <c r="F53" s="153">
        <v>2.95</v>
      </c>
      <c r="G53" s="153">
        <v>3.07</v>
      </c>
      <c r="H53" s="153">
        <v>18.47</v>
      </c>
      <c r="I53" s="153">
        <v>115.19</v>
      </c>
      <c r="J53" s="153">
        <v>0.12</v>
      </c>
      <c r="K53" s="153">
        <v>7.0000000000000007E-2</v>
      </c>
      <c r="L53" s="153">
        <v>6.6</v>
      </c>
      <c r="M53" s="153">
        <v>0.2</v>
      </c>
      <c r="N53" s="153">
        <v>1.88</v>
      </c>
      <c r="O53" s="153">
        <v>27.99</v>
      </c>
      <c r="P53" s="153">
        <v>77.209999999999994</v>
      </c>
      <c r="Q53" s="153"/>
      <c r="R53" s="153">
        <v>4.8799999999999998E-3</v>
      </c>
      <c r="S53" s="153">
        <v>40.090000000000003</v>
      </c>
      <c r="T53" s="153">
        <v>1.53</v>
      </c>
    </row>
    <row r="54" spans="2:20" s="154" customFormat="1" ht="18" customHeight="1">
      <c r="B54" s="158" t="s">
        <v>401</v>
      </c>
      <c r="C54" s="316" t="s">
        <v>216</v>
      </c>
      <c r="D54" s="316"/>
      <c r="E54" s="153">
        <v>100</v>
      </c>
      <c r="F54" s="153">
        <v>9.67</v>
      </c>
      <c r="G54" s="153">
        <v>5.25</v>
      </c>
      <c r="H54" s="153">
        <v>4.08</v>
      </c>
      <c r="I54" s="153">
        <v>101.67</v>
      </c>
      <c r="J54" s="153"/>
      <c r="K54" s="153"/>
      <c r="L54" s="153">
        <v>2.2799999999999998</v>
      </c>
      <c r="M54" s="153"/>
      <c r="N54" s="153"/>
      <c r="O54" s="153">
        <v>39.86</v>
      </c>
      <c r="P54" s="153"/>
      <c r="Q54" s="153"/>
      <c r="R54" s="153"/>
      <c r="S54" s="153">
        <v>0</v>
      </c>
      <c r="T54" s="153">
        <v>0.78</v>
      </c>
    </row>
    <row r="55" spans="2:20" s="154" customFormat="1" ht="26.25" customHeight="1">
      <c r="B55" s="153">
        <v>312</v>
      </c>
      <c r="C55" s="315" t="s">
        <v>286</v>
      </c>
      <c r="D55" s="315"/>
      <c r="E55" s="153">
        <v>180</v>
      </c>
      <c r="F55" s="153">
        <v>3.95</v>
      </c>
      <c r="G55" s="153">
        <v>8.4700000000000006</v>
      </c>
      <c r="H55" s="153">
        <v>26.65</v>
      </c>
      <c r="I55" s="153">
        <v>198.65</v>
      </c>
      <c r="J55" s="153">
        <v>0.19</v>
      </c>
      <c r="K55" s="153">
        <v>0.16</v>
      </c>
      <c r="L55" s="153">
        <v>31.33</v>
      </c>
      <c r="M55" s="153">
        <v>9.6000000000000002E-2</v>
      </c>
      <c r="N55" s="153">
        <v>1.8</v>
      </c>
      <c r="O55" s="153">
        <v>51.05</v>
      </c>
      <c r="P55" s="153">
        <v>117.3</v>
      </c>
      <c r="Q55" s="153">
        <v>0.35899999999999999</v>
      </c>
      <c r="R55" s="153">
        <v>1E-3</v>
      </c>
      <c r="S55" s="153">
        <v>39.67</v>
      </c>
      <c r="T55" s="153">
        <v>1.43</v>
      </c>
    </row>
    <row r="56" spans="2:20" s="154" customFormat="1" ht="25.5" customHeight="1">
      <c r="B56" s="153">
        <v>349</v>
      </c>
      <c r="C56" s="315" t="s">
        <v>287</v>
      </c>
      <c r="D56" s="315"/>
      <c r="E56" s="153">
        <v>200</v>
      </c>
      <c r="F56" s="153">
        <v>0.22</v>
      </c>
      <c r="G56" s="153"/>
      <c r="H56" s="153">
        <v>24.42</v>
      </c>
      <c r="I56" s="153">
        <v>98.56</v>
      </c>
      <c r="J56" s="153"/>
      <c r="K56" s="153"/>
      <c r="L56" s="153">
        <v>0.2</v>
      </c>
      <c r="M56" s="153"/>
      <c r="N56" s="153"/>
      <c r="O56" s="153">
        <v>22.6</v>
      </c>
      <c r="P56" s="153">
        <v>7.7</v>
      </c>
      <c r="Q56" s="153">
        <v>0</v>
      </c>
      <c r="R56" s="153">
        <v>0</v>
      </c>
      <c r="S56" s="153">
        <v>3</v>
      </c>
      <c r="T56" s="153">
        <v>0.66</v>
      </c>
    </row>
    <row r="57" spans="2:20" s="154" customFormat="1" ht="18" customHeight="1">
      <c r="B57" s="153" t="s">
        <v>270</v>
      </c>
      <c r="C57" s="315" t="s">
        <v>135</v>
      </c>
      <c r="D57" s="315"/>
      <c r="E57" s="153">
        <v>40</v>
      </c>
      <c r="F57" s="153">
        <v>2.64</v>
      </c>
      <c r="G57" s="153">
        <v>0.48</v>
      </c>
      <c r="H57" s="153">
        <v>13.68</v>
      </c>
      <c r="I57" s="153">
        <v>69.599999999999994</v>
      </c>
      <c r="J57" s="153">
        <v>0.08</v>
      </c>
      <c r="K57" s="153">
        <v>0.04</v>
      </c>
      <c r="L57" s="153">
        <v>0</v>
      </c>
      <c r="M57" s="153">
        <v>0</v>
      </c>
      <c r="N57" s="153">
        <v>2.4</v>
      </c>
      <c r="O57" s="153">
        <v>14</v>
      </c>
      <c r="P57" s="153">
        <v>63.2</v>
      </c>
      <c r="Q57" s="153">
        <v>1.2</v>
      </c>
      <c r="R57" s="153">
        <v>1E-3</v>
      </c>
      <c r="S57" s="153">
        <v>9.4</v>
      </c>
      <c r="T57" s="153">
        <v>0.78</v>
      </c>
    </row>
    <row r="58" spans="2:20" s="154" customFormat="1" ht="18" customHeight="1">
      <c r="B58" s="153" t="s">
        <v>270</v>
      </c>
      <c r="C58" s="315" t="s">
        <v>35</v>
      </c>
      <c r="D58" s="315"/>
      <c r="E58" s="153">
        <v>30</v>
      </c>
      <c r="F58" s="153">
        <v>1.52</v>
      </c>
      <c r="G58" s="153">
        <v>0.16</v>
      </c>
      <c r="H58" s="153">
        <v>9.84</v>
      </c>
      <c r="I58" s="153">
        <v>46.9</v>
      </c>
      <c r="J58" s="153">
        <v>0.02</v>
      </c>
      <c r="K58" s="153">
        <v>0.01</v>
      </c>
      <c r="L58" s="153">
        <v>0.44</v>
      </c>
      <c r="M58" s="153">
        <v>0</v>
      </c>
      <c r="N58" s="153">
        <v>0.7</v>
      </c>
      <c r="O58" s="153">
        <v>4</v>
      </c>
      <c r="P58" s="153">
        <v>13</v>
      </c>
      <c r="Q58" s="153">
        <v>8.0000000000000002E-3</v>
      </c>
      <c r="R58" s="153">
        <v>1E-3</v>
      </c>
      <c r="S58" s="153">
        <v>0</v>
      </c>
      <c r="T58" s="153">
        <v>0.22</v>
      </c>
    </row>
    <row r="59" spans="2:20" s="154" customFormat="1" ht="28.5" customHeight="1">
      <c r="B59" s="311" t="s">
        <v>271</v>
      </c>
      <c r="C59" s="311"/>
      <c r="D59" s="311"/>
      <c r="E59" s="164">
        <f>SUM(E52:E58)</f>
        <v>900</v>
      </c>
      <c r="F59" s="164">
        <f t="shared" ref="F59:T59" si="9">SUM(F52:F58)</f>
        <v>22.38</v>
      </c>
      <c r="G59" s="164">
        <f t="shared" si="9"/>
        <v>22.51</v>
      </c>
      <c r="H59" s="164">
        <f t="shared" si="9"/>
        <v>105.69</v>
      </c>
      <c r="I59" s="164">
        <f t="shared" si="9"/>
        <v>716.25</v>
      </c>
      <c r="J59" s="164">
        <f t="shared" si="9"/>
        <v>0.43</v>
      </c>
      <c r="K59" s="164">
        <f t="shared" si="9"/>
        <v>0.31</v>
      </c>
      <c r="L59" s="164">
        <f t="shared" si="9"/>
        <v>50.35</v>
      </c>
      <c r="M59" s="164">
        <f t="shared" si="9"/>
        <v>0.316</v>
      </c>
      <c r="N59" s="164">
        <f t="shared" si="9"/>
        <v>6.95</v>
      </c>
      <c r="O59" s="164">
        <f t="shared" si="9"/>
        <v>203.85</v>
      </c>
      <c r="P59" s="164">
        <f t="shared" si="9"/>
        <v>321.14</v>
      </c>
      <c r="Q59" s="164">
        <f t="shared" si="9"/>
        <v>2.2869999999999999</v>
      </c>
      <c r="R59" s="164">
        <f t="shared" si="9"/>
        <v>2.4880000000000003E-2</v>
      </c>
      <c r="S59" s="164">
        <f t="shared" si="9"/>
        <v>113.66000000000001</v>
      </c>
      <c r="T59" s="164">
        <f t="shared" si="9"/>
        <v>6.8</v>
      </c>
    </row>
    <row r="60" spans="2:20" s="154" customFormat="1" ht="18" customHeight="1">
      <c r="B60" s="311" t="s">
        <v>265</v>
      </c>
      <c r="C60" s="311"/>
      <c r="D60" s="311"/>
      <c r="E60" s="311"/>
      <c r="F60" s="172">
        <f t="shared" ref="F60:T60" si="10">F59/F67</f>
        <v>0.24866666666666665</v>
      </c>
      <c r="G60" s="172">
        <f t="shared" si="10"/>
        <v>0.24467391304347827</v>
      </c>
      <c r="H60" s="172">
        <f t="shared" si="10"/>
        <v>0.27595300261096606</v>
      </c>
      <c r="I60" s="172">
        <f t="shared" si="10"/>
        <v>0.26332720588235292</v>
      </c>
      <c r="J60" s="172">
        <f t="shared" si="10"/>
        <v>0.30714285714285716</v>
      </c>
      <c r="K60" s="172">
        <f t="shared" si="10"/>
        <v>0.19374999999999998</v>
      </c>
      <c r="L60" s="172">
        <f t="shared" si="10"/>
        <v>0.71928571428571431</v>
      </c>
      <c r="M60" s="172">
        <f t="shared" si="10"/>
        <v>0.3511111111111111</v>
      </c>
      <c r="N60" s="172">
        <f t="shared" si="10"/>
        <v>0.57916666666666672</v>
      </c>
      <c r="O60" s="172">
        <f t="shared" si="10"/>
        <v>0.169875</v>
      </c>
      <c r="P60" s="172">
        <f t="shared" si="10"/>
        <v>0.26761666666666667</v>
      </c>
      <c r="Q60" s="172">
        <f t="shared" si="10"/>
        <v>0.16335714285714284</v>
      </c>
      <c r="R60" s="172">
        <f t="shared" si="10"/>
        <v>0.24880000000000002</v>
      </c>
      <c r="S60" s="172">
        <f t="shared" si="10"/>
        <v>0.37886666666666668</v>
      </c>
      <c r="T60" s="172">
        <f t="shared" si="10"/>
        <v>0.37777777777777777</v>
      </c>
    </row>
    <row r="61" spans="2:20" s="154" customFormat="1" ht="18" customHeight="1">
      <c r="B61" s="323" t="s">
        <v>272</v>
      </c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</row>
    <row r="62" spans="2:20" s="154" customFormat="1" ht="18" customHeight="1">
      <c r="B62" s="153" t="s">
        <v>270</v>
      </c>
      <c r="C62" s="315" t="s">
        <v>402</v>
      </c>
      <c r="D62" s="315"/>
      <c r="E62" s="153">
        <v>80</v>
      </c>
      <c r="F62" s="153">
        <v>5.95</v>
      </c>
      <c r="G62" s="153">
        <v>6.05</v>
      </c>
      <c r="H62" s="153">
        <v>38.22</v>
      </c>
      <c r="I62" s="153">
        <v>231.11</v>
      </c>
      <c r="J62" s="153">
        <v>0.06</v>
      </c>
      <c r="K62" s="153">
        <v>0.06</v>
      </c>
      <c r="L62" s="153">
        <v>0.02</v>
      </c>
      <c r="M62" s="153">
        <v>0.06</v>
      </c>
      <c r="N62" s="153"/>
      <c r="O62" s="153">
        <v>19.489999999999998</v>
      </c>
      <c r="P62" s="153">
        <v>55.89</v>
      </c>
      <c r="Q62" s="153"/>
      <c r="R62" s="153">
        <v>0</v>
      </c>
      <c r="S62" s="153">
        <v>8.27</v>
      </c>
      <c r="T62" s="153">
        <v>0.7</v>
      </c>
    </row>
    <row r="63" spans="2:20" s="154" customFormat="1" ht="18" customHeight="1">
      <c r="B63" s="146">
        <v>386</v>
      </c>
      <c r="C63" s="316" t="s">
        <v>273</v>
      </c>
      <c r="D63" s="316"/>
      <c r="E63" s="146">
        <v>200</v>
      </c>
      <c r="F63" s="146">
        <v>5.8</v>
      </c>
      <c r="G63" s="146">
        <v>5</v>
      </c>
      <c r="H63" s="146">
        <v>8</v>
      </c>
      <c r="I63" s="146">
        <v>100.2</v>
      </c>
      <c r="J63" s="146">
        <v>0.04</v>
      </c>
      <c r="K63" s="146">
        <v>0.26</v>
      </c>
      <c r="L63" s="146">
        <v>0.6</v>
      </c>
      <c r="M63" s="146">
        <v>0.04</v>
      </c>
      <c r="N63" s="146">
        <v>1E-3</v>
      </c>
      <c r="O63" s="146">
        <v>240</v>
      </c>
      <c r="P63" s="146">
        <v>184</v>
      </c>
      <c r="Q63" s="146">
        <v>0.4</v>
      </c>
      <c r="R63" s="146">
        <v>1E-3</v>
      </c>
      <c r="S63" s="146">
        <v>28</v>
      </c>
      <c r="T63" s="146">
        <v>0.2</v>
      </c>
    </row>
    <row r="64" spans="2:20" s="154" customFormat="1" ht="18" customHeight="1">
      <c r="B64" s="312" t="s">
        <v>274</v>
      </c>
      <c r="C64" s="313"/>
      <c r="D64" s="314"/>
      <c r="E64" s="164">
        <f>E63+E62</f>
        <v>280</v>
      </c>
      <c r="F64" s="164">
        <f t="shared" ref="F64:T64" si="11">F63+F62</f>
        <v>11.75</v>
      </c>
      <c r="G64" s="164">
        <f t="shared" si="11"/>
        <v>11.05</v>
      </c>
      <c r="H64" s="164">
        <f t="shared" si="11"/>
        <v>46.22</v>
      </c>
      <c r="I64" s="164">
        <f t="shared" si="11"/>
        <v>331.31</v>
      </c>
      <c r="J64" s="164">
        <f t="shared" si="11"/>
        <v>0.1</v>
      </c>
      <c r="K64" s="164">
        <f t="shared" si="11"/>
        <v>0.32</v>
      </c>
      <c r="L64" s="164">
        <f t="shared" si="11"/>
        <v>0.62</v>
      </c>
      <c r="M64" s="164">
        <f t="shared" si="11"/>
        <v>0.1</v>
      </c>
      <c r="N64" s="164">
        <f t="shared" si="11"/>
        <v>1E-3</v>
      </c>
      <c r="O64" s="164">
        <f t="shared" si="11"/>
        <v>259.49</v>
      </c>
      <c r="P64" s="164">
        <f t="shared" si="11"/>
        <v>239.89</v>
      </c>
      <c r="Q64" s="164">
        <f t="shared" si="11"/>
        <v>0.4</v>
      </c>
      <c r="R64" s="164">
        <f t="shared" si="11"/>
        <v>1E-3</v>
      </c>
      <c r="S64" s="164">
        <f t="shared" si="11"/>
        <v>36.269999999999996</v>
      </c>
      <c r="T64" s="164">
        <f t="shared" si="11"/>
        <v>0.89999999999999991</v>
      </c>
    </row>
    <row r="65" spans="2:20" s="154" customFormat="1" ht="18" customHeight="1">
      <c r="B65" s="311" t="s">
        <v>265</v>
      </c>
      <c r="C65" s="311"/>
      <c r="D65" s="311"/>
      <c r="E65" s="311"/>
      <c r="F65" s="172">
        <f>F64/F67</f>
        <v>0.13055555555555556</v>
      </c>
      <c r="G65" s="172">
        <f t="shared" ref="G65:T65" si="12">G64/G67</f>
        <v>0.12010869565217393</v>
      </c>
      <c r="H65" s="172">
        <f t="shared" si="12"/>
        <v>0.12067885117493472</v>
      </c>
      <c r="I65" s="172">
        <f t="shared" si="12"/>
        <v>0.12180514705882353</v>
      </c>
      <c r="J65" s="172">
        <f t="shared" si="12"/>
        <v>7.1428571428571438E-2</v>
      </c>
      <c r="K65" s="172">
        <f t="shared" si="12"/>
        <v>0.19999999999999998</v>
      </c>
      <c r="L65" s="172">
        <f t="shared" si="12"/>
        <v>8.8571428571428568E-3</v>
      </c>
      <c r="M65" s="172">
        <f t="shared" si="12"/>
        <v>0.11111111111111112</v>
      </c>
      <c r="N65" s="172">
        <f t="shared" si="12"/>
        <v>8.3333333333333331E-5</v>
      </c>
      <c r="O65" s="172">
        <f t="shared" si="12"/>
        <v>0.21624166666666667</v>
      </c>
      <c r="P65" s="172">
        <f t="shared" si="12"/>
        <v>0.19990833333333333</v>
      </c>
      <c r="Q65" s="172">
        <f t="shared" si="12"/>
        <v>2.8571428571428574E-2</v>
      </c>
      <c r="R65" s="172">
        <f t="shared" si="12"/>
        <v>0.01</v>
      </c>
      <c r="S65" s="172">
        <f t="shared" si="12"/>
        <v>0.12089999999999999</v>
      </c>
      <c r="T65" s="172">
        <f t="shared" si="12"/>
        <v>4.9999999999999996E-2</v>
      </c>
    </row>
    <row r="66" spans="2:20" s="154" customFormat="1" ht="18" customHeight="1">
      <c r="B66" s="311" t="s">
        <v>275</v>
      </c>
      <c r="C66" s="311"/>
      <c r="D66" s="311"/>
      <c r="E66" s="311"/>
      <c r="F66" s="164">
        <f>F49+F59+F64</f>
        <v>56.510000000000005</v>
      </c>
      <c r="G66" s="164">
        <f t="shared" ref="G66:T66" si="13">G49+G59+G64</f>
        <v>54.239999999999995</v>
      </c>
      <c r="H66" s="164">
        <f t="shared" si="13"/>
        <v>246.19</v>
      </c>
      <c r="I66" s="164">
        <f t="shared" si="13"/>
        <v>1702.0099999999998</v>
      </c>
      <c r="J66" s="164">
        <f t="shared" si="13"/>
        <v>0.73899999999999999</v>
      </c>
      <c r="K66" s="164">
        <f t="shared" si="13"/>
        <v>0.95</v>
      </c>
      <c r="L66" s="164">
        <f t="shared" si="13"/>
        <v>57.15</v>
      </c>
      <c r="M66" s="164">
        <f t="shared" si="13"/>
        <v>0.57899999999999996</v>
      </c>
      <c r="N66" s="164">
        <f t="shared" si="13"/>
        <v>7.7410000000000005</v>
      </c>
      <c r="O66" s="164">
        <f t="shared" si="13"/>
        <v>648.54</v>
      </c>
      <c r="P66" s="164">
        <f t="shared" si="13"/>
        <v>784.93</v>
      </c>
      <c r="Q66" s="164">
        <f t="shared" si="13"/>
        <v>3.859</v>
      </c>
      <c r="R66" s="164">
        <f t="shared" si="13"/>
        <v>4.1080000000000005E-2</v>
      </c>
      <c r="S66" s="164">
        <f t="shared" si="13"/>
        <v>227.73000000000002</v>
      </c>
      <c r="T66" s="164">
        <f t="shared" si="13"/>
        <v>10.34</v>
      </c>
    </row>
    <row r="67" spans="2:20" s="154" customFormat="1" ht="18" customHeight="1">
      <c r="B67" s="311" t="s">
        <v>276</v>
      </c>
      <c r="C67" s="311"/>
      <c r="D67" s="311"/>
      <c r="E67" s="311"/>
      <c r="F67" s="153">
        <v>90</v>
      </c>
      <c r="G67" s="153">
        <v>92</v>
      </c>
      <c r="H67" s="153">
        <v>383</v>
      </c>
      <c r="I67" s="153">
        <v>2720</v>
      </c>
      <c r="J67" s="153">
        <v>1.4</v>
      </c>
      <c r="K67" s="153">
        <v>1.6</v>
      </c>
      <c r="L67" s="153">
        <v>70</v>
      </c>
      <c r="M67" s="153">
        <v>0.9</v>
      </c>
      <c r="N67" s="153">
        <v>12</v>
      </c>
      <c r="O67" s="153">
        <v>1200</v>
      </c>
      <c r="P67" s="153">
        <v>1200</v>
      </c>
      <c r="Q67" s="153">
        <v>14</v>
      </c>
      <c r="R67" s="153">
        <v>0.1</v>
      </c>
      <c r="S67" s="153">
        <v>300</v>
      </c>
      <c r="T67" s="153">
        <v>18</v>
      </c>
    </row>
    <row r="68" spans="2:20" s="154" customFormat="1" ht="18" customHeight="1">
      <c r="B68" s="311" t="s">
        <v>265</v>
      </c>
      <c r="C68" s="311"/>
      <c r="D68" s="311"/>
      <c r="E68" s="311"/>
      <c r="F68" s="172">
        <f>F66/F67</f>
        <v>0.62788888888888894</v>
      </c>
      <c r="G68" s="172">
        <f t="shared" ref="G68:T68" si="14">G66/G67</f>
        <v>0.5895652173913043</v>
      </c>
      <c r="H68" s="172">
        <f t="shared" si="14"/>
        <v>0.64279373368146209</v>
      </c>
      <c r="I68" s="172">
        <f t="shared" si="14"/>
        <v>0.62573897058823524</v>
      </c>
      <c r="J68" s="172">
        <f t="shared" si="14"/>
        <v>0.52785714285714291</v>
      </c>
      <c r="K68" s="172">
        <f t="shared" si="14"/>
        <v>0.59374999999999989</v>
      </c>
      <c r="L68" s="172">
        <f t="shared" si="14"/>
        <v>0.81642857142857139</v>
      </c>
      <c r="M68" s="172">
        <f t="shared" si="14"/>
        <v>0.64333333333333331</v>
      </c>
      <c r="N68" s="172">
        <f t="shared" si="14"/>
        <v>0.64508333333333334</v>
      </c>
      <c r="O68" s="172">
        <f t="shared" si="14"/>
        <v>0.54044999999999999</v>
      </c>
      <c r="P68" s="172">
        <f t="shared" si="14"/>
        <v>0.65410833333333329</v>
      </c>
      <c r="Q68" s="172">
        <f t="shared" si="14"/>
        <v>0.27564285714285713</v>
      </c>
      <c r="R68" s="172">
        <f t="shared" si="14"/>
        <v>0.41080000000000005</v>
      </c>
      <c r="S68" s="172">
        <f t="shared" si="14"/>
        <v>0.75910000000000011</v>
      </c>
      <c r="T68" s="172">
        <f t="shared" si="14"/>
        <v>0.57444444444444442</v>
      </c>
    </row>
    <row r="69" spans="2:20" s="154" customFormat="1" ht="18" customHeight="1">
      <c r="B69" s="168"/>
      <c r="C69" s="165"/>
      <c r="D69" s="153"/>
      <c r="E69" s="153"/>
      <c r="F69" s="153"/>
      <c r="G69" s="153"/>
      <c r="H69" s="153"/>
      <c r="I69" s="153"/>
      <c r="J69" s="153"/>
      <c r="K69" s="153"/>
      <c r="L69" s="153"/>
      <c r="M69" s="324" t="s">
        <v>229</v>
      </c>
      <c r="N69" s="324"/>
      <c r="O69" s="324"/>
      <c r="P69" s="324"/>
      <c r="Q69" s="324"/>
      <c r="R69" s="324"/>
      <c r="S69" s="324"/>
      <c r="T69" s="324"/>
    </row>
    <row r="70" spans="2:20" s="154" customFormat="1" ht="18" customHeight="1">
      <c r="B70" s="323" t="s">
        <v>290</v>
      </c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</row>
    <row r="71" spans="2:20" s="154" customFormat="1" ht="18" customHeight="1">
      <c r="B71" s="311" t="s">
        <v>291</v>
      </c>
      <c r="C71" s="311"/>
      <c r="D71" s="153"/>
      <c r="E71" s="153"/>
      <c r="F71" s="153"/>
      <c r="G71" s="324" t="s">
        <v>292</v>
      </c>
      <c r="H71" s="324"/>
      <c r="I71" s="324"/>
      <c r="J71" s="153"/>
      <c r="K71" s="153"/>
      <c r="L71" s="311" t="s">
        <v>233</v>
      </c>
      <c r="M71" s="311"/>
      <c r="N71" s="324" t="s">
        <v>234</v>
      </c>
      <c r="O71" s="324"/>
      <c r="P71" s="324"/>
      <c r="Q71" s="324"/>
      <c r="R71" s="153"/>
      <c r="S71" s="153"/>
      <c r="T71" s="153"/>
    </row>
    <row r="72" spans="2:20" s="154" customFormat="1" ht="18" customHeight="1">
      <c r="B72" s="153"/>
      <c r="C72" s="153"/>
      <c r="D72" s="153"/>
      <c r="E72" s="323" t="s">
        <v>235</v>
      </c>
      <c r="F72" s="323"/>
      <c r="G72" s="153">
        <v>1</v>
      </c>
      <c r="H72" s="153"/>
      <c r="I72" s="153"/>
      <c r="J72" s="153"/>
      <c r="K72" s="153"/>
      <c r="L72" s="311" t="s">
        <v>236</v>
      </c>
      <c r="M72" s="311"/>
      <c r="N72" s="324" t="s">
        <v>320</v>
      </c>
      <c r="O72" s="324"/>
      <c r="P72" s="324"/>
      <c r="Q72" s="324"/>
      <c r="R72" s="324"/>
      <c r="S72" s="324"/>
      <c r="T72" s="324"/>
    </row>
    <row r="73" spans="2:20" s="154" customFormat="1" ht="18" customHeight="1">
      <c r="B73" s="166" t="s">
        <v>279</v>
      </c>
      <c r="C73" s="340" t="s">
        <v>239</v>
      </c>
      <c r="D73" s="340"/>
      <c r="E73" s="340" t="s">
        <v>240</v>
      </c>
      <c r="F73" s="340" t="s">
        <v>241</v>
      </c>
      <c r="G73" s="340"/>
      <c r="H73" s="340"/>
      <c r="I73" s="166" t="s">
        <v>242</v>
      </c>
      <c r="J73" s="340" t="s">
        <v>244</v>
      </c>
      <c r="K73" s="340"/>
      <c r="L73" s="340"/>
      <c r="M73" s="340"/>
      <c r="N73" s="340"/>
      <c r="O73" s="340" t="s">
        <v>245</v>
      </c>
      <c r="P73" s="340"/>
      <c r="Q73" s="340"/>
      <c r="R73" s="340"/>
      <c r="S73" s="340"/>
      <c r="T73" s="340"/>
    </row>
    <row r="74" spans="2:20" s="154" customFormat="1" ht="18" customHeight="1">
      <c r="B74" s="166" t="s">
        <v>280</v>
      </c>
      <c r="C74" s="340"/>
      <c r="D74" s="340"/>
      <c r="E74" s="340"/>
      <c r="F74" s="166" t="s">
        <v>246</v>
      </c>
      <c r="G74" s="166" t="s">
        <v>247</v>
      </c>
      <c r="H74" s="166" t="s">
        <v>248</v>
      </c>
      <c r="I74" s="166" t="s">
        <v>243</v>
      </c>
      <c r="J74" s="166" t="s">
        <v>249</v>
      </c>
      <c r="K74" s="166" t="s">
        <v>250</v>
      </c>
      <c r="L74" s="166" t="s">
        <v>251</v>
      </c>
      <c r="M74" s="166" t="s">
        <v>252</v>
      </c>
      <c r="N74" s="166" t="s">
        <v>253</v>
      </c>
      <c r="O74" s="166" t="s">
        <v>254</v>
      </c>
      <c r="P74" s="166" t="s">
        <v>255</v>
      </c>
      <c r="Q74" s="166" t="s">
        <v>256</v>
      </c>
      <c r="R74" s="166" t="s">
        <v>257</v>
      </c>
      <c r="S74" s="166" t="s">
        <v>258</v>
      </c>
      <c r="T74" s="166" t="s">
        <v>259</v>
      </c>
    </row>
    <row r="75" spans="2:20" s="154" customFormat="1" ht="18" customHeight="1">
      <c r="B75" s="167">
        <v>1</v>
      </c>
      <c r="C75" s="325">
        <v>2</v>
      </c>
      <c r="D75" s="325"/>
      <c r="E75" s="167">
        <v>3</v>
      </c>
      <c r="F75" s="167">
        <v>4</v>
      </c>
      <c r="G75" s="167">
        <v>5</v>
      </c>
      <c r="H75" s="167">
        <v>6</v>
      </c>
      <c r="I75" s="167">
        <v>7</v>
      </c>
      <c r="J75" s="167">
        <v>8</v>
      </c>
      <c r="K75" s="167">
        <v>9</v>
      </c>
      <c r="L75" s="167">
        <v>10</v>
      </c>
      <c r="M75" s="167">
        <v>11</v>
      </c>
      <c r="N75" s="167">
        <v>12</v>
      </c>
      <c r="O75" s="167">
        <v>13</v>
      </c>
      <c r="P75" s="167">
        <v>14</v>
      </c>
      <c r="Q75" s="167">
        <v>15</v>
      </c>
      <c r="R75" s="167">
        <v>16</v>
      </c>
      <c r="S75" s="167">
        <v>17</v>
      </c>
      <c r="T75" s="167">
        <v>18</v>
      </c>
    </row>
    <row r="76" spans="2:20" s="154" customFormat="1" ht="18" customHeight="1">
      <c r="B76" s="323" t="s">
        <v>260</v>
      </c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</row>
    <row r="77" spans="2:20" s="154" customFormat="1" ht="18" customHeight="1">
      <c r="B77" s="153">
        <v>59</v>
      </c>
      <c r="C77" s="315" t="s">
        <v>293</v>
      </c>
      <c r="D77" s="315"/>
      <c r="E77" s="153">
        <v>100</v>
      </c>
      <c r="F77" s="153">
        <v>1.06</v>
      </c>
      <c r="G77" s="153">
        <v>0.17</v>
      </c>
      <c r="H77" s="153">
        <v>8.52</v>
      </c>
      <c r="I77" s="153">
        <v>39.9</v>
      </c>
      <c r="J77" s="153">
        <v>0.05</v>
      </c>
      <c r="K77" s="153">
        <v>0.02</v>
      </c>
      <c r="L77" s="153">
        <v>4.38</v>
      </c>
      <c r="M77" s="153">
        <v>0.02</v>
      </c>
      <c r="N77" s="153">
        <v>2.4900000000000002</v>
      </c>
      <c r="O77" s="153">
        <v>24</v>
      </c>
      <c r="P77" s="153">
        <v>33.979999999999997</v>
      </c>
      <c r="Q77" s="153">
        <v>0.13</v>
      </c>
      <c r="R77" s="153">
        <v>1E-3</v>
      </c>
      <c r="S77" s="153">
        <v>6.6</v>
      </c>
      <c r="T77" s="153">
        <v>1.07</v>
      </c>
    </row>
    <row r="78" spans="2:20" s="154" customFormat="1" ht="18" customHeight="1">
      <c r="B78" s="146" t="s">
        <v>348</v>
      </c>
      <c r="C78" s="316" t="s">
        <v>416</v>
      </c>
      <c r="D78" s="316"/>
      <c r="E78" s="146">
        <v>100</v>
      </c>
      <c r="F78" s="146">
        <v>0.4</v>
      </c>
      <c r="G78" s="146">
        <v>0.4</v>
      </c>
      <c r="H78" s="146">
        <v>9.8000000000000007</v>
      </c>
      <c r="I78" s="146">
        <v>42</v>
      </c>
      <c r="J78" s="146">
        <v>0.04</v>
      </c>
      <c r="K78" s="146">
        <v>0.02</v>
      </c>
      <c r="L78" s="146">
        <v>10</v>
      </c>
      <c r="M78" s="146">
        <v>0</v>
      </c>
      <c r="N78" s="146">
        <v>0.2</v>
      </c>
      <c r="O78" s="146">
        <v>16</v>
      </c>
      <c r="P78" s="146">
        <v>11</v>
      </c>
      <c r="Q78" s="146">
        <v>0</v>
      </c>
      <c r="R78" s="146">
        <v>0</v>
      </c>
      <c r="S78" s="146">
        <v>9</v>
      </c>
      <c r="T78" s="146">
        <v>2.2000000000000002</v>
      </c>
    </row>
    <row r="79" spans="2:20" s="154" customFormat="1" ht="18" customHeight="1">
      <c r="B79" s="143" t="s">
        <v>327</v>
      </c>
      <c r="C79" s="326" t="s">
        <v>328</v>
      </c>
      <c r="D79" s="326"/>
      <c r="E79" s="146">
        <v>30</v>
      </c>
      <c r="F79" s="146">
        <v>0.15</v>
      </c>
      <c r="G79" s="146">
        <v>0</v>
      </c>
      <c r="H79" s="146">
        <v>17.850000000000001</v>
      </c>
      <c r="I79" s="146">
        <v>71.7</v>
      </c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</row>
    <row r="80" spans="2:20" s="154" customFormat="1" ht="18" customHeight="1">
      <c r="B80" s="146" t="s">
        <v>333</v>
      </c>
      <c r="C80" s="316" t="s">
        <v>332</v>
      </c>
      <c r="D80" s="316"/>
      <c r="E80" s="153">
        <v>200</v>
      </c>
      <c r="F80" s="153">
        <v>34.14</v>
      </c>
      <c r="G80" s="153">
        <v>21.46</v>
      </c>
      <c r="H80" s="153">
        <v>33.340000000000003</v>
      </c>
      <c r="I80" s="153">
        <v>463.74</v>
      </c>
      <c r="J80" s="153">
        <v>0.08</v>
      </c>
      <c r="K80" s="153">
        <v>0.42</v>
      </c>
      <c r="L80" s="153">
        <v>0.38</v>
      </c>
      <c r="M80" s="153">
        <v>0.08</v>
      </c>
      <c r="N80" s="153"/>
      <c r="O80" s="153">
        <v>282.66000000000003</v>
      </c>
      <c r="P80" s="153">
        <v>386.66</v>
      </c>
      <c r="Q80" s="153"/>
      <c r="R80" s="153">
        <v>0.04</v>
      </c>
      <c r="S80" s="153">
        <v>42.66</v>
      </c>
      <c r="T80" s="153">
        <v>1.2</v>
      </c>
    </row>
    <row r="81" spans="2:20" s="154" customFormat="1" ht="18" customHeight="1">
      <c r="B81" s="153">
        <v>376</v>
      </c>
      <c r="C81" s="315" t="s">
        <v>57</v>
      </c>
      <c r="D81" s="315"/>
      <c r="E81" s="153">
        <v>200</v>
      </c>
      <c r="F81" s="153">
        <v>0.2</v>
      </c>
      <c r="G81" s="153">
        <v>0.05</v>
      </c>
      <c r="H81" s="153">
        <v>15.01</v>
      </c>
      <c r="I81" s="153">
        <v>61</v>
      </c>
      <c r="J81" s="153">
        <v>0</v>
      </c>
      <c r="K81" s="153">
        <v>0.01</v>
      </c>
      <c r="L81" s="153">
        <v>9</v>
      </c>
      <c r="M81" s="153">
        <v>1E-4</v>
      </c>
      <c r="N81" s="153">
        <v>4.4999999999999998E-2</v>
      </c>
      <c r="O81" s="153">
        <v>5.25</v>
      </c>
      <c r="P81" s="153">
        <v>8.24</v>
      </c>
      <c r="Q81" s="153">
        <v>8.0000000000000002E-3</v>
      </c>
      <c r="R81" s="153">
        <v>0</v>
      </c>
      <c r="S81" s="153">
        <v>4.4000000000000004</v>
      </c>
      <c r="T81" s="153">
        <v>0.87</v>
      </c>
    </row>
    <row r="82" spans="2:20" s="154" customFormat="1" ht="18" customHeight="1">
      <c r="B82" s="153" t="s">
        <v>270</v>
      </c>
      <c r="C82" s="315" t="s">
        <v>329</v>
      </c>
      <c r="D82" s="315"/>
      <c r="E82" s="153">
        <v>40</v>
      </c>
      <c r="F82" s="153">
        <v>2.67</v>
      </c>
      <c r="G82" s="153">
        <v>0.53</v>
      </c>
      <c r="H82" s="153">
        <v>13.73</v>
      </c>
      <c r="I82" s="153">
        <v>70.400000000000006</v>
      </c>
      <c r="J82" s="153">
        <v>0.13</v>
      </c>
      <c r="K82" s="153">
        <v>1.2999999999999999E-2</v>
      </c>
      <c r="L82" s="153">
        <v>0.1</v>
      </c>
      <c r="M82" s="153">
        <v>0</v>
      </c>
      <c r="N82" s="153">
        <v>0.93</v>
      </c>
      <c r="O82" s="153">
        <v>14</v>
      </c>
      <c r="P82" s="153">
        <v>63.2</v>
      </c>
      <c r="Q82" s="153">
        <v>1.2999999999999999E-2</v>
      </c>
      <c r="R82" s="153">
        <v>1.2999999999999999E-2</v>
      </c>
      <c r="S82" s="153">
        <v>18.8</v>
      </c>
      <c r="T82" s="153">
        <v>1.6</v>
      </c>
    </row>
    <row r="83" spans="2:20" s="154" customFormat="1" ht="18" customHeight="1">
      <c r="B83" s="311" t="s">
        <v>264</v>
      </c>
      <c r="C83" s="311"/>
      <c r="D83" s="311"/>
      <c r="E83" s="164">
        <f>E77+E79+E80+E81+E82</f>
        <v>570</v>
      </c>
      <c r="F83" s="164">
        <f t="shared" ref="F83:T83" si="15">F77+F79+F80+F81+F82</f>
        <v>38.220000000000006</v>
      </c>
      <c r="G83" s="164">
        <f t="shared" si="15"/>
        <v>22.210000000000004</v>
      </c>
      <c r="H83" s="164">
        <f t="shared" si="15"/>
        <v>88.450000000000017</v>
      </c>
      <c r="I83" s="164">
        <f t="shared" si="15"/>
        <v>706.74</v>
      </c>
      <c r="J83" s="164">
        <f t="shared" si="15"/>
        <v>0.26</v>
      </c>
      <c r="K83" s="164">
        <f t="shared" si="15"/>
        <v>0.46300000000000002</v>
      </c>
      <c r="L83" s="164">
        <f t="shared" si="15"/>
        <v>13.86</v>
      </c>
      <c r="M83" s="164">
        <f t="shared" si="15"/>
        <v>0.10010000000000001</v>
      </c>
      <c r="N83" s="164">
        <f t="shared" si="15"/>
        <v>3.4650000000000003</v>
      </c>
      <c r="O83" s="164">
        <f t="shared" si="15"/>
        <v>325.91000000000003</v>
      </c>
      <c r="P83" s="164">
        <f t="shared" si="15"/>
        <v>492.08000000000004</v>
      </c>
      <c r="Q83" s="164">
        <f t="shared" si="15"/>
        <v>0.15100000000000002</v>
      </c>
      <c r="R83" s="164">
        <f t="shared" si="15"/>
        <v>5.3999999999999999E-2</v>
      </c>
      <c r="S83" s="164">
        <f t="shared" si="15"/>
        <v>72.459999999999994</v>
      </c>
      <c r="T83" s="164">
        <f t="shared" si="15"/>
        <v>4.74</v>
      </c>
    </row>
    <row r="84" spans="2:20" s="154" customFormat="1" ht="18" customHeight="1">
      <c r="B84" s="311" t="s">
        <v>265</v>
      </c>
      <c r="C84" s="311"/>
      <c r="D84" s="311"/>
      <c r="E84" s="311"/>
      <c r="F84" s="172">
        <f>F83/F101</f>
        <v>0.42466666666666675</v>
      </c>
      <c r="G84" s="172">
        <v>0.19209999999999999</v>
      </c>
      <c r="H84" s="172">
        <v>0.23139999999999999</v>
      </c>
      <c r="I84" s="172">
        <v>0.2205</v>
      </c>
      <c r="J84" s="172">
        <v>0.35949999999999999</v>
      </c>
      <c r="K84" s="172">
        <v>0.33329999999999999</v>
      </c>
      <c r="L84" s="172">
        <v>0.2445</v>
      </c>
      <c r="M84" s="172">
        <v>0.38900000000000001</v>
      </c>
      <c r="N84" s="172">
        <v>0.4299</v>
      </c>
      <c r="O84" s="172">
        <v>0.251</v>
      </c>
      <c r="P84" s="172">
        <v>0.49669999999999997</v>
      </c>
      <c r="Q84" s="172">
        <v>9.7199999999999995E-2</v>
      </c>
      <c r="R84" s="172">
        <v>0.35</v>
      </c>
      <c r="S84" s="172">
        <v>0.47049999999999997</v>
      </c>
      <c r="T84" s="172">
        <v>0.36899999999999999</v>
      </c>
    </row>
    <row r="85" spans="2:20" s="154" customFormat="1" ht="18" customHeight="1">
      <c r="B85" s="323" t="s">
        <v>266</v>
      </c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</row>
    <row r="86" spans="2:20" s="154" customFormat="1" ht="21" customHeight="1">
      <c r="B86" s="146" t="s">
        <v>339</v>
      </c>
      <c r="C86" s="316" t="s">
        <v>340</v>
      </c>
      <c r="D86" s="316"/>
      <c r="E86" s="153">
        <v>100</v>
      </c>
      <c r="F86" s="153">
        <v>0.83</v>
      </c>
      <c r="G86" s="153">
        <v>5.03</v>
      </c>
      <c r="H86" s="153">
        <v>1.84</v>
      </c>
      <c r="I86" s="153">
        <v>56</v>
      </c>
      <c r="J86" s="153">
        <v>0.15</v>
      </c>
      <c r="K86" s="153">
        <v>0.03</v>
      </c>
      <c r="L86" s="153">
        <v>7.08</v>
      </c>
      <c r="M86" s="153">
        <v>0.15</v>
      </c>
      <c r="N86" s="153"/>
      <c r="O86" s="153">
        <v>33.96</v>
      </c>
      <c r="P86" s="153">
        <v>23.22</v>
      </c>
      <c r="Q86" s="153"/>
      <c r="R86" s="153">
        <v>0</v>
      </c>
      <c r="S86" s="153">
        <v>13.92</v>
      </c>
      <c r="T86" s="153">
        <v>0.64</v>
      </c>
    </row>
    <row r="87" spans="2:20" s="154" customFormat="1" ht="29.25" customHeight="1">
      <c r="B87" s="153">
        <v>24</v>
      </c>
      <c r="C87" s="315" t="s">
        <v>294</v>
      </c>
      <c r="D87" s="315"/>
      <c r="E87" s="153">
        <v>100</v>
      </c>
      <c r="F87" s="153">
        <v>0.5</v>
      </c>
      <c r="G87" s="153">
        <v>3.33</v>
      </c>
      <c r="H87" s="153">
        <v>2.67</v>
      </c>
      <c r="I87" s="153">
        <v>42.67</v>
      </c>
      <c r="J87" s="153">
        <v>0.1</v>
      </c>
      <c r="K87" s="153">
        <v>7.0000000000000007E-2</v>
      </c>
      <c r="L87" s="153">
        <v>20.67</v>
      </c>
      <c r="M87" s="153">
        <v>2E-3</v>
      </c>
      <c r="N87" s="153">
        <v>2.5</v>
      </c>
      <c r="O87" s="153">
        <v>47</v>
      </c>
      <c r="P87" s="153">
        <v>53.83</v>
      </c>
      <c r="Q87" s="153">
        <v>0.5</v>
      </c>
      <c r="R87" s="153">
        <v>3.0000000000000001E-3</v>
      </c>
      <c r="S87" s="153">
        <v>31</v>
      </c>
      <c r="T87" s="153">
        <v>0.83</v>
      </c>
    </row>
    <row r="88" spans="2:20" s="154" customFormat="1" ht="18" customHeight="1">
      <c r="B88" s="146">
        <v>110</v>
      </c>
      <c r="C88" s="316" t="s">
        <v>217</v>
      </c>
      <c r="D88" s="316"/>
      <c r="E88" s="153">
        <v>250</v>
      </c>
      <c r="F88" s="153">
        <v>1.6</v>
      </c>
      <c r="G88" s="153">
        <v>4.8</v>
      </c>
      <c r="H88" s="153">
        <v>11.23</v>
      </c>
      <c r="I88" s="153">
        <v>93.75</v>
      </c>
      <c r="J88" s="153">
        <v>0.05</v>
      </c>
      <c r="K88" s="153">
        <v>0.05</v>
      </c>
      <c r="L88" s="153">
        <v>7.63</v>
      </c>
      <c r="M88" s="153">
        <v>0.05</v>
      </c>
      <c r="N88" s="153"/>
      <c r="O88" s="153">
        <v>27.83</v>
      </c>
      <c r="P88" s="153">
        <v>0</v>
      </c>
      <c r="Q88" s="153"/>
      <c r="R88" s="153">
        <v>0</v>
      </c>
      <c r="S88" s="153">
        <v>19.48</v>
      </c>
      <c r="T88" s="153">
        <v>0.9</v>
      </c>
    </row>
    <row r="89" spans="2:20" s="154" customFormat="1" ht="18" customHeight="1">
      <c r="B89" s="146">
        <v>291</v>
      </c>
      <c r="C89" s="316" t="s">
        <v>295</v>
      </c>
      <c r="D89" s="316"/>
      <c r="E89" s="146">
        <v>240</v>
      </c>
      <c r="F89" s="146">
        <v>22.36</v>
      </c>
      <c r="G89" s="146">
        <v>26.14</v>
      </c>
      <c r="H89" s="146">
        <v>47.23</v>
      </c>
      <c r="I89" s="146">
        <v>513.6</v>
      </c>
      <c r="J89" s="146">
        <v>0.82</v>
      </c>
      <c r="K89" s="146">
        <v>0.79</v>
      </c>
      <c r="L89" s="146">
        <v>4.3</v>
      </c>
      <c r="M89" s="146">
        <v>0.46</v>
      </c>
      <c r="N89" s="146">
        <v>0</v>
      </c>
      <c r="O89" s="146">
        <v>44.29</v>
      </c>
      <c r="P89" s="146">
        <v>301.66000000000003</v>
      </c>
      <c r="Q89" s="146">
        <v>0</v>
      </c>
      <c r="R89" s="146">
        <v>0</v>
      </c>
      <c r="S89" s="146">
        <v>64.39</v>
      </c>
      <c r="T89" s="146">
        <v>2.77</v>
      </c>
    </row>
    <row r="90" spans="2:20" s="154" customFormat="1" ht="18" customHeight="1">
      <c r="B90" s="153">
        <v>342</v>
      </c>
      <c r="C90" s="315" t="s">
        <v>296</v>
      </c>
      <c r="D90" s="315"/>
      <c r="E90" s="153">
        <v>200</v>
      </c>
      <c r="F90" s="153">
        <v>0.16</v>
      </c>
      <c r="G90" s="153">
        <v>0.16</v>
      </c>
      <c r="H90" s="153">
        <v>27.9</v>
      </c>
      <c r="I90" s="153">
        <v>114</v>
      </c>
      <c r="J90" s="153">
        <v>0.01</v>
      </c>
      <c r="K90" s="153">
        <v>0.01</v>
      </c>
      <c r="L90" s="153">
        <v>6.6</v>
      </c>
      <c r="M90" s="153">
        <v>0.01</v>
      </c>
      <c r="N90" s="153">
        <v>0.4</v>
      </c>
      <c r="O90" s="153">
        <v>6.88</v>
      </c>
      <c r="P90" s="153">
        <v>4.4000000000000004</v>
      </c>
      <c r="Q90" s="153">
        <v>0.08</v>
      </c>
      <c r="R90" s="153">
        <v>0.01</v>
      </c>
      <c r="S90" s="153">
        <v>3.6</v>
      </c>
      <c r="T90" s="153">
        <v>0.95</v>
      </c>
    </row>
    <row r="91" spans="2:20" s="154" customFormat="1" ht="18" customHeight="1">
      <c r="B91" s="153" t="s">
        <v>270</v>
      </c>
      <c r="C91" s="315" t="s">
        <v>135</v>
      </c>
      <c r="D91" s="315"/>
      <c r="E91" s="153">
        <v>40</v>
      </c>
      <c r="F91" s="153">
        <v>2.64</v>
      </c>
      <c r="G91" s="153">
        <v>0.48</v>
      </c>
      <c r="H91" s="153">
        <v>13.68</v>
      </c>
      <c r="I91" s="153">
        <v>69.599999999999994</v>
      </c>
      <c r="J91" s="153">
        <v>0.08</v>
      </c>
      <c r="K91" s="153">
        <v>0.04</v>
      </c>
      <c r="L91" s="153">
        <v>0</v>
      </c>
      <c r="M91" s="153">
        <v>0</v>
      </c>
      <c r="N91" s="153">
        <v>2.4</v>
      </c>
      <c r="O91" s="153">
        <v>14</v>
      </c>
      <c r="P91" s="153">
        <v>63.2</v>
      </c>
      <c r="Q91" s="153">
        <v>1.2</v>
      </c>
      <c r="R91" s="153">
        <v>1E-3</v>
      </c>
      <c r="S91" s="153">
        <v>9.4</v>
      </c>
      <c r="T91" s="153">
        <v>0.78</v>
      </c>
    </row>
    <row r="92" spans="2:20" s="154" customFormat="1" ht="18" customHeight="1">
      <c r="B92" s="153" t="s">
        <v>270</v>
      </c>
      <c r="C92" s="315" t="s">
        <v>35</v>
      </c>
      <c r="D92" s="315"/>
      <c r="E92" s="153">
        <v>30</v>
      </c>
      <c r="F92" s="153">
        <v>1.52</v>
      </c>
      <c r="G92" s="153">
        <v>0.16</v>
      </c>
      <c r="H92" s="153">
        <v>9.84</v>
      </c>
      <c r="I92" s="153">
        <v>46.9</v>
      </c>
      <c r="J92" s="153">
        <v>0.02</v>
      </c>
      <c r="K92" s="153">
        <v>0.01</v>
      </c>
      <c r="L92" s="153">
        <v>0.44</v>
      </c>
      <c r="M92" s="153">
        <v>0</v>
      </c>
      <c r="N92" s="153">
        <v>0.7</v>
      </c>
      <c r="O92" s="153">
        <v>4</v>
      </c>
      <c r="P92" s="153">
        <v>13</v>
      </c>
      <c r="Q92" s="153">
        <v>8.0000000000000002E-3</v>
      </c>
      <c r="R92" s="153">
        <v>1E-3</v>
      </c>
      <c r="S92" s="153">
        <v>0</v>
      </c>
      <c r="T92" s="153">
        <v>0.22</v>
      </c>
    </row>
    <row r="93" spans="2:20" s="154" customFormat="1" ht="26.25" customHeight="1">
      <c r="B93" s="311" t="s">
        <v>271</v>
      </c>
      <c r="C93" s="311"/>
      <c r="D93" s="311"/>
      <c r="E93" s="164">
        <f>SUM(E87:E92)</f>
        <v>860</v>
      </c>
      <c r="F93" s="164">
        <f t="shared" ref="F93:T93" si="16">SUM(F87:F92)</f>
        <v>28.78</v>
      </c>
      <c r="G93" s="164">
        <f t="shared" si="16"/>
        <v>35.069999999999986</v>
      </c>
      <c r="H93" s="164">
        <f t="shared" si="16"/>
        <v>112.55000000000001</v>
      </c>
      <c r="I93" s="164">
        <f t="shared" si="16"/>
        <v>880.52</v>
      </c>
      <c r="J93" s="164">
        <f t="shared" si="16"/>
        <v>1.08</v>
      </c>
      <c r="K93" s="164">
        <f t="shared" si="16"/>
        <v>0.97000000000000008</v>
      </c>
      <c r="L93" s="164">
        <f t="shared" si="16"/>
        <v>39.64</v>
      </c>
      <c r="M93" s="164">
        <f t="shared" si="16"/>
        <v>0.52200000000000002</v>
      </c>
      <c r="N93" s="164">
        <f t="shared" si="16"/>
        <v>6</v>
      </c>
      <c r="O93" s="164">
        <f t="shared" si="16"/>
        <v>144</v>
      </c>
      <c r="P93" s="164">
        <f t="shared" si="16"/>
        <v>436.09</v>
      </c>
      <c r="Q93" s="164">
        <f t="shared" si="16"/>
        <v>1.7879999999999998</v>
      </c>
      <c r="R93" s="164">
        <f t="shared" si="16"/>
        <v>1.5000000000000003E-2</v>
      </c>
      <c r="S93" s="164">
        <f t="shared" si="16"/>
        <v>127.87</v>
      </c>
      <c r="T93" s="164">
        <f t="shared" si="16"/>
        <v>6.45</v>
      </c>
    </row>
    <row r="94" spans="2:20" s="154" customFormat="1" ht="18" customHeight="1">
      <c r="B94" s="311" t="s">
        <v>265</v>
      </c>
      <c r="C94" s="311"/>
      <c r="D94" s="311"/>
      <c r="E94" s="311"/>
      <c r="F94" s="172">
        <f>F93/F101</f>
        <v>0.31977777777777777</v>
      </c>
      <c r="G94" s="172">
        <f t="shared" ref="G94:T94" si="17">G93/G101</f>
        <v>0.38119565217391288</v>
      </c>
      <c r="H94" s="172">
        <f t="shared" si="17"/>
        <v>0.29386422976501309</v>
      </c>
      <c r="I94" s="172">
        <f t="shared" si="17"/>
        <v>0.32372058823529409</v>
      </c>
      <c r="J94" s="172">
        <f t="shared" si="17"/>
        <v>0.77142857142857157</v>
      </c>
      <c r="K94" s="172">
        <f t="shared" si="17"/>
        <v>0.60625000000000007</v>
      </c>
      <c r="L94" s="172">
        <f t="shared" si="17"/>
        <v>0.56628571428571428</v>
      </c>
      <c r="M94" s="172">
        <f t="shared" si="17"/>
        <v>0.57999999999999996</v>
      </c>
      <c r="N94" s="172">
        <f t="shared" si="17"/>
        <v>0.5</v>
      </c>
      <c r="O94" s="172">
        <f t="shared" si="17"/>
        <v>0.12</v>
      </c>
      <c r="P94" s="172">
        <f t="shared" si="17"/>
        <v>0.36340833333333333</v>
      </c>
      <c r="Q94" s="172">
        <f t="shared" si="17"/>
        <v>0.1277142857142857</v>
      </c>
      <c r="R94" s="172">
        <f t="shared" si="17"/>
        <v>0.15000000000000002</v>
      </c>
      <c r="S94" s="172">
        <f t="shared" si="17"/>
        <v>0.42623333333333335</v>
      </c>
      <c r="T94" s="172">
        <f t="shared" si="17"/>
        <v>0.35833333333333334</v>
      </c>
    </row>
    <row r="95" spans="2:20" s="154" customFormat="1" ht="18" customHeight="1">
      <c r="B95" s="323" t="s">
        <v>272</v>
      </c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</row>
    <row r="96" spans="2:20" s="154" customFormat="1" ht="18" customHeight="1">
      <c r="B96" s="153" t="s">
        <v>270</v>
      </c>
      <c r="C96" s="315" t="s">
        <v>403</v>
      </c>
      <c r="D96" s="315"/>
      <c r="E96" s="153">
        <v>100</v>
      </c>
      <c r="F96" s="153">
        <v>13.08</v>
      </c>
      <c r="G96" s="153">
        <v>6.06</v>
      </c>
      <c r="H96" s="153">
        <v>49.58</v>
      </c>
      <c r="I96" s="153">
        <v>306</v>
      </c>
      <c r="J96" s="153">
        <v>0.14000000000000001</v>
      </c>
      <c r="K96" s="153">
        <v>0.18</v>
      </c>
      <c r="L96" s="153">
        <v>0.18</v>
      </c>
      <c r="M96" s="153">
        <v>0.14000000000000001</v>
      </c>
      <c r="N96" s="153"/>
      <c r="O96" s="153">
        <v>75.8</v>
      </c>
      <c r="P96" s="153">
        <v>140</v>
      </c>
      <c r="Q96" s="153"/>
      <c r="R96" s="153">
        <v>0</v>
      </c>
      <c r="S96" s="153">
        <v>34.6</v>
      </c>
      <c r="T96" s="153">
        <v>1.52</v>
      </c>
    </row>
    <row r="97" spans="2:20" s="154" customFormat="1" ht="18" customHeight="1">
      <c r="B97" s="146">
        <v>377</v>
      </c>
      <c r="C97" s="316" t="s">
        <v>70</v>
      </c>
      <c r="D97" s="316"/>
      <c r="E97" s="146" t="s">
        <v>269</v>
      </c>
      <c r="F97" s="146">
        <v>0.26</v>
      </c>
      <c r="G97" s="146">
        <v>0.06</v>
      </c>
      <c r="H97" s="146">
        <v>15.22</v>
      </c>
      <c r="I97" s="146">
        <v>62.5</v>
      </c>
      <c r="J97" s="146"/>
      <c r="K97" s="146">
        <v>0.01</v>
      </c>
      <c r="L97" s="146">
        <v>2.9</v>
      </c>
      <c r="M97" s="146">
        <v>0</v>
      </c>
      <c r="N97" s="146">
        <v>0.06</v>
      </c>
      <c r="O97" s="146">
        <v>8.0500000000000007</v>
      </c>
      <c r="P97" s="146">
        <v>9.7799999999999994</v>
      </c>
      <c r="Q97" s="146">
        <v>0.02</v>
      </c>
      <c r="R97" s="146">
        <v>0</v>
      </c>
      <c r="S97" s="146">
        <v>5.24</v>
      </c>
      <c r="T97" s="146">
        <v>0.87</v>
      </c>
    </row>
    <row r="98" spans="2:20" s="154" customFormat="1" ht="18" customHeight="1">
      <c r="B98" s="169" t="s">
        <v>274</v>
      </c>
      <c r="C98" s="170"/>
      <c r="D98" s="171"/>
      <c r="E98" s="164">
        <f>E96+204</f>
        <v>304</v>
      </c>
      <c r="F98" s="164">
        <f>F96+F97</f>
        <v>13.34</v>
      </c>
      <c r="G98" s="164">
        <f t="shared" ref="G98:T98" si="18">G96+G97</f>
        <v>6.1199999999999992</v>
      </c>
      <c r="H98" s="164">
        <f t="shared" si="18"/>
        <v>64.8</v>
      </c>
      <c r="I98" s="164">
        <f t="shared" si="18"/>
        <v>368.5</v>
      </c>
      <c r="J98" s="164">
        <f t="shared" si="18"/>
        <v>0.14000000000000001</v>
      </c>
      <c r="K98" s="164">
        <f t="shared" si="18"/>
        <v>0.19</v>
      </c>
      <c r="L98" s="164">
        <f t="shared" si="18"/>
        <v>3.08</v>
      </c>
      <c r="M98" s="164">
        <f t="shared" si="18"/>
        <v>0.14000000000000001</v>
      </c>
      <c r="N98" s="164">
        <f t="shared" si="18"/>
        <v>0.06</v>
      </c>
      <c r="O98" s="164">
        <f t="shared" si="18"/>
        <v>83.85</v>
      </c>
      <c r="P98" s="164">
        <f t="shared" si="18"/>
        <v>149.78</v>
      </c>
      <c r="Q98" s="164">
        <f t="shared" si="18"/>
        <v>0.02</v>
      </c>
      <c r="R98" s="164">
        <f t="shared" si="18"/>
        <v>0</v>
      </c>
      <c r="S98" s="164">
        <f t="shared" si="18"/>
        <v>39.840000000000003</v>
      </c>
      <c r="T98" s="164">
        <f t="shared" si="18"/>
        <v>2.39</v>
      </c>
    </row>
    <row r="99" spans="2:20" s="154" customFormat="1" ht="18" customHeight="1">
      <c r="B99" s="311" t="s">
        <v>265</v>
      </c>
      <c r="C99" s="311"/>
      <c r="D99" s="311"/>
      <c r="E99" s="311"/>
      <c r="F99" s="172">
        <f>F98/F101</f>
        <v>0.14822222222222223</v>
      </c>
      <c r="G99" s="172">
        <f t="shared" ref="G99:T99" si="19">G98/G101</f>
        <v>6.652173913043477E-2</v>
      </c>
      <c r="H99" s="172">
        <f t="shared" si="19"/>
        <v>0.1691906005221932</v>
      </c>
      <c r="I99" s="172">
        <f t="shared" si="19"/>
        <v>0.13547794117647058</v>
      </c>
      <c r="J99" s="172">
        <f t="shared" si="19"/>
        <v>0.10000000000000002</v>
      </c>
      <c r="K99" s="172">
        <f t="shared" si="19"/>
        <v>0.11874999999999999</v>
      </c>
      <c r="L99" s="172">
        <f t="shared" si="19"/>
        <v>4.4000000000000004E-2</v>
      </c>
      <c r="M99" s="172">
        <f t="shared" si="19"/>
        <v>0.15555555555555556</v>
      </c>
      <c r="N99" s="172">
        <f t="shared" si="19"/>
        <v>5.0000000000000001E-3</v>
      </c>
      <c r="O99" s="172">
        <f t="shared" si="19"/>
        <v>6.9874999999999993E-2</v>
      </c>
      <c r="P99" s="172">
        <f t="shared" si="19"/>
        <v>0.12481666666666667</v>
      </c>
      <c r="Q99" s="172">
        <f t="shared" si="19"/>
        <v>1.4285714285714286E-3</v>
      </c>
      <c r="R99" s="172">
        <f t="shared" si="19"/>
        <v>0</v>
      </c>
      <c r="S99" s="172">
        <f t="shared" si="19"/>
        <v>0.1328</v>
      </c>
      <c r="T99" s="172">
        <f t="shared" si="19"/>
        <v>0.13277777777777777</v>
      </c>
    </row>
    <row r="100" spans="2:20" s="154" customFormat="1" ht="18" customHeight="1">
      <c r="B100" s="311" t="s">
        <v>275</v>
      </c>
      <c r="C100" s="311"/>
      <c r="D100" s="311"/>
      <c r="E100" s="311"/>
      <c r="F100" s="164">
        <f>F98+F93+F83</f>
        <v>80.34</v>
      </c>
      <c r="G100" s="164">
        <f t="shared" ref="G100:T100" si="20">G98+G93+G83</f>
        <v>63.399999999999991</v>
      </c>
      <c r="H100" s="164">
        <f t="shared" si="20"/>
        <v>265.80000000000007</v>
      </c>
      <c r="I100" s="164">
        <f t="shared" si="20"/>
        <v>1955.76</v>
      </c>
      <c r="J100" s="164">
        <f t="shared" si="20"/>
        <v>1.4800000000000002</v>
      </c>
      <c r="K100" s="164">
        <f t="shared" si="20"/>
        <v>1.6230000000000002</v>
      </c>
      <c r="L100" s="164">
        <f t="shared" si="20"/>
        <v>56.58</v>
      </c>
      <c r="M100" s="164">
        <f t="shared" si="20"/>
        <v>0.7621</v>
      </c>
      <c r="N100" s="164">
        <f t="shared" si="20"/>
        <v>9.5250000000000004</v>
      </c>
      <c r="O100" s="164">
        <f t="shared" si="20"/>
        <v>553.76</v>
      </c>
      <c r="P100" s="164">
        <f t="shared" si="20"/>
        <v>1077.95</v>
      </c>
      <c r="Q100" s="164">
        <f t="shared" si="20"/>
        <v>1.9589999999999999</v>
      </c>
      <c r="R100" s="164">
        <f t="shared" si="20"/>
        <v>6.9000000000000006E-2</v>
      </c>
      <c r="S100" s="164">
        <f t="shared" si="20"/>
        <v>240.17000000000002</v>
      </c>
      <c r="T100" s="164">
        <f t="shared" si="20"/>
        <v>13.58</v>
      </c>
    </row>
    <row r="101" spans="2:20" s="154" customFormat="1" ht="18" customHeight="1">
      <c r="B101" s="311" t="s">
        <v>276</v>
      </c>
      <c r="C101" s="311"/>
      <c r="D101" s="311"/>
      <c r="E101" s="311"/>
      <c r="F101" s="153">
        <v>90</v>
      </c>
      <c r="G101" s="153">
        <v>92</v>
      </c>
      <c r="H101" s="153">
        <v>383</v>
      </c>
      <c r="I101" s="153">
        <v>2720</v>
      </c>
      <c r="J101" s="153">
        <v>1.4</v>
      </c>
      <c r="K101" s="153">
        <v>1.6</v>
      </c>
      <c r="L101" s="153">
        <v>70</v>
      </c>
      <c r="M101" s="153">
        <v>0.9</v>
      </c>
      <c r="N101" s="153">
        <v>12</v>
      </c>
      <c r="O101" s="153">
        <v>1200</v>
      </c>
      <c r="P101" s="153">
        <v>1200</v>
      </c>
      <c r="Q101" s="153">
        <v>14</v>
      </c>
      <c r="R101" s="153">
        <v>0.1</v>
      </c>
      <c r="S101" s="153">
        <v>300</v>
      </c>
      <c r="T101" s="153">
        <v>18</v>
      </c>
    </row>
    <row r="102" spans="2:20" s="154" customFormat="1" ht="18" customHeight="1">
      <c r="B102" s="311" t="s">
        <v>265</v>
      </c>
      <c r="C102" s="311"/>
      <c r="D102" s="311"/>
      <c r="E102" s="311"/>
      <c r="F102" s="172">
        <f>F100/F101</f>
        <v>0.89266666666666672</v>
      </c>
      <c r="G102" s="172">
        <f t="shared" ref="G102:T102" si="21">G100/G101</f>
        <v>0.6891304347826086</v>
      </c>
      <c r="H102" s="172">
        <f t="shared" si="21"/>
        <v>0.69399477806788534</v>
      </c>
      <c r="I102" s="172">
        <f t="shared" si="21"/>
        <v>0.71902941176470592</v>
      </c>
      <c r="J102" s="172">
        <f t="shared" si="21"/>
        <v>1.0571428571428574</v>
      </c>
      <c r="K102" s="172">
        <f t="shared" si="21"/>
        <v>1.014375</v>
      </c>
      <c r="L102" s="172">
        <f t="shared" si="21"/>
        <v>0.80828571428571427</v>
      </c>
      <c r="M102" s="172">
        <f t="shared" si="21"/>
        <v>0.84677777777777774</v>
      </c>
      <c r="N102" s="172">
        <f t="shared" si="21"/>
        <v>0.79375000000000007</v>
      </c>
      <c r="O102" s="172">
        <f t="shared" si="21"/>
        <v>0.46146666666666664</v>
      </c>
      <c r="P102" s="172">
        <f t="shared" si="21"/>
        <v>0.89829166666666671</v>
      </c>
      <c r="Q102" s="172">
        <f t="shared" si="21"/>
        <v>0.13992857142857143</v>
      </c>
      <c r="R102" s="172">
        <f t="shared" si="21"/>
        <v>0.69000000000000006</v>
      </c>
      <c r="S102" s="172">
        <f t="shared" si="21"/>
        <v>0.80056666666666676</v>
      </c>
      <c r="T102" s="172">
        <f t="shared" si="21"/>
        <v>0.75444444444444447</v>
      </c>
    </row>
    <row r="103" spans="2:20" s="154" customFormat="1" ht="18" customHeight="1">
      <c r="B103" s="165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324" t="s">
        <v>229</v>
      </c>
      <c r="N103" s="324"/>
      <c r="O103" s="324"/>
      <c r="P103" s="324"/>
      <c r="Q103" s="324"/>
      <c r="R103" s="324"/>
      <c r="S103" s="324"/>
      <c r="T103" s="324"/>
    </row>
    <row r="104" spans="2:20" s="154" customFormat="1" ht="18" customHeight="1">
      <c r="B104" s="323" t="s">
        <v>297</v>
      </c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</row>
    <row r="105" spans="2:20" s="154" customFormat="1" ht="18" customHeight="1">
      <c r="B105" s="311" t="s">
        <v>231</v>
      </c>
      <c r="C105" s="311"/>
      <c r="D105" s="153"/>
      <c r="E105" s="153"/>
      <c r="F105" s="153"/>
      <c r="G105" s="324" t="s">
        <v>298</v>
      </c>
      <c r="H105" s="324"/>
      <c r="I105" s="324"/>
      <c r="J105" s="153"/>
      <c r="K105" s="153"/>
      <c r="L105" s="311" t="s">
        <v>233</v>
      </c>
      <c r="M105" s="311"/>
      <c r="N105" s="324" t="s">
        <v>234</v>
      </c>
      <c r="O105" s="324"/>
      <c r="P105" s="324"/>
      <c r="Q105" s="324"/>
      <c r="R105" s="153"/>
      <c r="S105" s="153"/>
      <c r="T105" s="153"/>
    </row>
    <row r="106" spans="2:20" s="154" customFormat="1" ht="18" customHeight="1">
      <c r="B106" s="153"/>
      <c r="C106" s="153"/>
      <c r="D106" s="153"/>
      <c r="E106" s="323" t="s">
        <v>235</v>
      </c>
      <c r="F106" s="323"/>
      <c r="G106" s="153">
        <v>1</v>
      </c>
      <c r="H106" s="153"/>
      <c r="I106" s="153"/>
      <c r="J106" s="153"/>
      <c r="K106" s="153"/>
      <c r="L106" s="311" t="s">
        <v>236</v>
      </c>
      <c r="M106" s="311"/>
      <c r="N106" s="324" t="s">
        <v>320</v>
      </c>
      <c r="O106" s="324"/>
      <c r="P106" s="324"/>
      <c r="Q106" s="324"/>
      <c r="R106" s="324"/>
      <c r="S106" s="324"/>
      <c r="T106" s="324"/>
    </row>
    <row r="107" spans="2:20" s="154" customFormat="1" ht="18" customHeight="1">
      <c r="B107" s="166" t="s">
        <v>279</v>
      </c>
      <c r="C107" s="340" t="s">
        <v>239</v>
      </c>
      <c r="D107" s="340"/>
      <c r="E107" s="340" t="s">
        <v>240</v>
      </c>
      <c r="F107" s="340" t="s">
        <v>241</v>
      </c>
      <c r="G107" s="340"/>
      <c r="H107" s="340"/>
      <c r="I107" s="166" t="s">
        <v>242</v>
      </c>
      <c r="J107" s="340" t="s">
        <v>244</v>
      </c>
      <c r="K107" s="340"/>
      <c r="L107" s="340"/>
      <c r="M107" s="340"/>
      <c r="N107" s="340"/>
      <c r="O107" s="340" t="s">
        <v>245</v>
      </c>
      <c r="P107" s="340"/>
      <c r="Q107" s="340"/>
      <c r="R107" s="340"/>
      <c r="S107" s="340"/>
      <c r="T107" s="340"/>
    </row>
    <row r="108" spans="2:20" s="154" customFormat="1" ht="18" customHeight="1">
      <c r="B108" s="166" t="s">
        <v>280</v>
      </c>
      <c r="C108" s="340"/>
      <c r="D108" s="340"/>
      <c r="E108" s="340"/>
      <c r="F108" s="166" t="s">
        <v>246</v>
      </c>
      <c r="G108" s="166" t="s">
        <v>247</v>
      </c>
      <c r="H108" s="166" t="s">
        <v>248</v>
      </c>
      <c r="I108" s="166" t="s">
        <v>243</v>
      </c>
      <c r="J108" s="166" t="s">
        <v>249</v>
      </c>
      <c r="K108" s="166" t="s">
        <v>250</v>
      </c>
      <c r="L108" s="166" t="s">
        <v>251</v>
      </c>
      <c r="M108" s="166" t="s">
        <v>252</v>
      </c>
      <c r="N108" s="166" t="s">
        <v>253</v>
      </c>
      <c r="O108" s="166" t="s">
        <v>254</v>
      </c>
      <c r="P108" s="166" t="s">
        <v>255</v>
      </c>
      <c r="Q108" s="166" t="s">
        <v>256</v>
      </c>
      <c r="R108" s="166" t="s">
        <v>257</v>
      </c>
      <c r="S108" s="166" t="s">
        <v>258</v>
      </c>
      <c r="T108" s="166" t="s">
        <v>259</v>
      </c>
    </row>
    <row r="109" spans="2:20" s="154" customFormat="1" ht="18" customHeight="1">
      <c r="B109" s="167">
        <v>1</v>
      </c>
      <c r="C109" s="325">
        <v>2</v>
      </c>
      <c r="D109" s="325"/>
      <c r="E109" s="167">
        <v>3</v>
      </c>
      <c r="F109" s="167">
        <v>4</v>
      </c>
      <c r="G109" s="167">
        <v>5</v>
      </c>
      <c r="H109" s="167">
        <v>6</v>
      </c>
      <c r="I109" s="167">
        <v>7</v>
      </c>
      <c r="J109" s="167">
        <v>8</v>
      </c>
      <c r="K109" s="167">
        <v>9</v>
      </c>
      <c r="L109" s="167">
        <v>10</v>
      </c>
      <c r="M109" s="167">
        <v>11</v>
      </c>
      <c r="N109" s="167">
        <v>12</v>
      </c>
      <c r="O109" s="167">
        <v>13</v>
      </c>
      <c r="P109" s="167">
        <v>14</v>
      </c>
      <c r="Q109" s="167">
        <v>15</v>
      </c>
      <c r="R109" s="167">
        <v>16</v>
      </c>
      <c r="S109" s="167">
        <v>17</v>
      </c>
      <c r="T109" s="167">
        <v>18</v>
      </c>
    </row>
    <row r="110" spans="2:20" s="154" customFormat="1" ht="18" customHeight="1">
      <c r="B110" s="323" t="s">
        <v>281</v>
      </c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</row>
    <row r="111" spans="2:20" s="154" customFormat="1" ht="18" customHeight="1">
      <c r="B111" s="153">
        <v>338</v>
      </c>
      <c r="C111" s="315" t="s">
        <v>416</v>
      </c>
      <c r="D111" s="315"/>
      <c r="E111" s="153">
        <v>100</v>
      </c>
      <c r="F111" s="153">
        <v>0.4</v>
      </c>
      <c r="G111" s="153">
        <v>0.4</v>
      </c>
      <c r="H111" s="153">
        <v>9.8000000000000007</v>
      </c>
      <c r="I111" s="153">
        <v>42</v>
      </c>
      <c r="J111" s="153">
        <v>0.04</v>
      </c>
      <c r="K111" s="153">
        <v>0.02</v>
      </c>
      <c r="L111" s="153">
        <v>10</v>
      </c>
      <c r="M111" s="153">
        <v>0</v>
      </c>
      <c r="N111" s="153">
        <v>0.2</v>
      </c>
      <c r="O111" s="153">
        <v>16</v>
      </c>
      <c r="P111" s="153">
        <v>11</v>
      </c>
      <c r="Q111" s="153">
        <v>0</v>
      </c>
      <c r="R111" s="153">
        <v>0</v>
      </c>
      <c r="S111" s="153">
        <v>9</v>
      </c>
      <c r="T111" s="153">
        <v>2.2000000000000002</v>
      </c>
    </row>
    <row r="112" spans="2:20" s="154" customFormat="1" ht="18" customHeight="1">
      <c r="B112" s="153">
        <v>268</v>
      </c>
      <c r="C112" s="315" t="s">
        <v>405</v>
      </c>
      <c r="D112" s="315"/>
      <c r="E112" s="153">
        <v>100</v>
      </c>
      <c r="F112" s="153">
        <v>13.46</v>
      </c>
      <c r="G112" s="153">
        <v>10.86</v>
      </c>
      <c r="H112" s="153">
        <v>5.34</v>
      </c>
      <c r="I112" s="153">
        <v>172.9</v>
      </c>
      <c r="J112" s="153">
        <v>7.0000000000000007E-2</v>
      </c>
      <c r="K112" s="153">
        <v>0.23</v>
      </c>
      <c r="L112" s="153">
        <v>0.75</v>
      </c>
      <c r="M112" s="153">
        <v>0.2</v>
      </c>
      <c r="N112" s="153">
        <v>0.02</v>
      </c>
      <c r="O112" s="153">
        <v>73.739999999999995</v>
      </c>
      <c r="P112" s="153">
        <v>184.82</v>
      </c>
      <c r="Q112" s="153">
        <v>2.2799999999999998</v>
      </c>
      <c r="R112" s="153">
        <v>0.03</v>
      </c>
      <c r="S112" s="153">
        <v>29.86</v>
      </c>
      <c r="T112" s="153">
        <v>1.93</v>
      </c>
    </row>
    <row r="113" spans="2:20" s="154" customFormat="1" ht="18" customHeight="1">
      <c r="B113" s="153">
        <v>309</v>
      </c>
      <c r="C113" s="315" t="s">
        <v>321</v>
      </c>
      <c r="D113" s="315"/>
      <c r="E113" s="153">
        <v>180</v>
      </c>
      <c r="F113" s="153">
        <v>6.62</v>
      </c>
      <c r="G113" s="153">
        <v>5.42</v>
      </c>
      <c r="H113" s="153">
        <v>31.74</v>
      </c>
      <c r="I113" s="153">
        <v>202.3</v>
      </c>
      <c r="J113" s="153">
        <v>0.108</v>
      </c>
      <c r="K113" s="153">
        <v>3.5999999999999997E-2</v>
      </c>
      <c r="L113" s="153">
        <v>0</v>
      </c>
      <c r="M113" s="153">
        <v>3.5999999999999997E-2</v>
      </c>
      <c r="N113" s="153">
        <v>1.5</v>
      </c>
      <c r="O113" s="153">
        <v>15.94</v>
      </c>
      <c r="P113" s="153">
        <v>55.45</v>
      </c>
      <c r="Q113" s="153">
        <v>0.94</v>
      </c>
      <c r="R113" s="153">
        <v>2E-3</v>
      </c>
      <c r="S113" s="153">
        <v>10.16</v>
      </c>
      <c r="T113" s="153">
        <v>0.86</v>
      </c>
    </row>
    <row r="114" spans="2:20" s="154" customFormat="1" ht="18" customHeight="1">
      <c r="B114" s="153">
        <v>377</v>
      </c>
      <c r="C114" s="315" t="s">
        <v>70</v>
      </c>
      <c r="D114" s="315"/>
      <c r="E114" s="153" t="s">
        <v>269</v>
      </c>
      <c r="F114" s="153">
        <v>0.26</v>
      </c>
      <c r="G114" s="153">
        <v>0.06</v>
      </c>
      <c r="H114" s="153">
        <v>15.22</v>
      </c>
      <c r="I114" s="153">
        <v>62.5</v>
      </c>
      <c r="J114" s="153"/>
      <c r="K114" s="153">
        <v>0.01</v>
      </c>
      <c r="L114" s="153">
        <v>2.9</v>
      </c>
      <c r="M114" s="153">
        <v>0</v>
      </c>
      <c r="N114" s="153">
        <v>0.06</v>
      </c>
      <c r="O114" s="153">
        <v>8.0500000000000007</v>
      </c>
      <c r="P114" s="153">
        <v>9.7799999999999994</v>
      </c>
      <c r="Q114" s="153">
        <v>1.7000000000000001E-2</v>
      </c>
      <c r="R114" s="153">
        <v>0</v>
      </c>
      <c r="S114" s="153">
        <v>5.24</v>
      </c>
      <c r="T114" s="153">
        <v>0.87</v>
      </c>
    </row>
    <row r="115" spans="2:20" s="154" customFormat="1" ht="18" customHeight="1">
      <c r="B115" s="153" t="s">
        <v>270</v>
      </c>
      <c r="C115" s="315" t="s">
        <v>88</v>
      </c>
      <c r="D115" s="315"/>
      <c r="E115" s="153">
        <v>40</v>
      </c>
      <c r="F115" s="153">
        <v>3.04</v>
      </c>
      <c r="G115" s="153">
        <v>0.32</v>
      </c>
      <c r="H115" s="153">
        <v>19.68</v>
      </c>
      <c r="I115" s="153">
        <v>93.8</v>
      </c>
      <c r="J115" s="153">
        <v>0.04</v>
      </c>
      <c r="K115" s="153">
        <v>0.01</v>
      </c>
      <c r="L115" s="153">
        <v>0.88</v>
      </c>
      <c r="M115" s="153">
        <v>0</v>
      </c>
      <c r="N115" s="153">
        <v>0.7</v>
      </c>
      <c r="O115" s="153">
        <v>8</v>
      </c>
      <c r="P115" s="153">
        <v>26</v>
      </c>
      <c r="Q115" s="153">
        <v>8.0000000000000002E-3</v>
      </c>
      <c r="R115" s="153">
        <v>3.0000000000000001E-3</v>
      </c>
      <c r="S115" s="153">
        <v>0</v>
      </c>
      <c r="T115" s="153">
        <v>0.44</v>
      </c>
    </row>
    <row r="116" spans="2:20" s="154" customFormat="1" ht="18" customHeight="1">
      <c r="B116" s="312" t="s">
        <v>285</v>
      </c>
      <c r="C116" s="313"/>
      <c r="D116" s="314"/>
      <c r="E116" s="164">
        <f>E111+E112+E113+E115+204</f>
        <v>624</v>
      </c>
      <c r="F116" s="164">
        <f>SUM(F111:F115)</f>
        <v>23.78</v>
      </c>
      <c r="G116" s="164">
        <f t="shared" ref="G116:T116" si="22">SUM(G111:G115)</f>
        <v>17.059999999999999</v>
      </c>
      <c r="H116" s="164">
        <f t="shared" si="22"/>
        <v>81.78</v>
      </c>
      <c r="I116" s="164">
        <f t="shared" si="22"/>
        <v>573.5</v>
      </c>
      <c r="J116" s="164">
        <f t="shared" si="22"/>
        <v>0.25800000000000001</v>
      </c>
      <c r="K116" s="164">
        <f t="shared" si="22"/>
        <v>0.30599999999999999</v>
      </c>
      <c r="L116" s="164">
        <f t="shared" si="22"/>
        <v>14.530000000000001</v>
      </c>
      <c r="M116" s="164">
        <f t="shared" si="22"/>
        <v>0.23600000000000002</v>
      </c>
      <c r="N116" s="164">
        <f t="shared" si="22"/>
        <v>2.48</v>
      </c>
      <c r="O116" s="164">
        <f t="shared" si="22"/>
        <v>121.72999999999999</v>
      </c>
      <c r="P116" s="164">
        <f t="shared" si="22"/>
        <v>287.04999999999995</v>
      </c>
      <c r="Q116" s="164">
        <f t="shared" si="22"/>
        <v>3.2449999999999997</v>
      </c>
      <c r="R116" s="164">
        <f t="shared" si="22"/>
        <v>3.5000000000000003E-2</v>
      </c>
      <c r="S116" s="164">
        <f t="shared" si="22"/>
        <v>54.26</v>
      </c>
      <c r="T116" s="164">
        <f t="shared" si="22"/>
        <v>6.3000000000000007</v>
      </c>
    </row>
    <row r="117" spans="2:20" s="154" customFormat="1" ht="18" customHeight="1">
      <c r="B117" s="311" t="s">
        <v>265</v>
      </c>
      <c r="C117" s="311"/>
      <c r="D117" s="311"/>
      <c r="E117" s="311"/>
      <c r="F117" s="172">
        <f t="shared" ref="F117:T117" si="23">F116/F134</f>
        <v>0.26422222222222225</v>
      </c>
      <c r="G117" s="172">
        <f t="shared" si="23"/>
        <v>0.18543478260869564</v>
      </c>
      <c r="H117" s="172">
        <f t="shared" si="23"/>
        <v>0.21352480417754569</v>
      </c>
      <c r="I117" s="172">
        <f t="shared" si="23"/>
        <v>0.21084558823529412</v>
      </c>
      <c r="J117" s="172">
        <f t="shared" si="23"/>
        <v>0.1842857142857143</v>
      </c>
      <c r="K117" s="172">
        <f t="shared" si="23"/>
        <v>0.19124999999999998</v>
      </c>
      <c r="L117" s="172">
        <f t="shared" si="23"/>
        <v>0.2075714285714286</v>
      </c>
      <c r="M117" s="172">
        <f t="shared" si="23"/>
        <v>0.26222222222222225</v>
      </c>
      <c r="N117" s="172">
        <f t="shared" si="23"/>
        <v>0.20666666666666667</v>
      </c>
      <c r="O117" s="172">
        <f t="shared" si="23"/>
        <v>0.10144166666666665</v>
      </c>
      <c r="P117" s="172">
        <f t="shared" si="23"/>
        <v>0.2392083333333333</v>
      </c>
      <c r="Q117" s="172">
        <f t="shared" si="23"/>
        <v>0.23178571428571426</v>
      </c>
      <c r="R117" s="172">
        <f t="shared" si="23"/>
        <v>0.35000000000000003</v>
      </c>
      <c r="S117" s="172">
        <f t="shared" si="23"/>
        <v>0.18086666666666665</v>
      </c>
      <c r="T117" s="172">
        <f t="shared" si="23"/>
        <v>0.35000000000000003</v>
      </c>
    </row>
    <row r="118" spans="2:20" s="154" customFormat="1" ht="18" customHeight="1">
      <c r="B118" s="323" t="s">
        <v>266</v>
      </c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</row>
    <row r="119" spans="2:20" s="154" customFormat="1" ht="18" customHeight="1">
      <c r="B119" s="146">
        <v>115</v>
      </c>
      <c r="C119" s="316" t="s">
        <v>341</v>
      </c>
      <c r="D119" s="316"/>
      <c r="E119" s="153">
        <v>100</v>
      </c>
      <c r="F119" s="153">
        <v>1.9</v>
      </c>
      <c r="G119" s="153">
        <v>8.9</v>
      </c>
      <c r="H119" s="153">
        <v>7.7</v>
      </c>
      <c r="I119" s="153">
        <v>119</v>
      </c>
      <c r="J119" s="153">
        <v>0.02</v>
      </c>
      <c r="K119" s="153">
        <v>0</v>
      </c>
      <c r="L119" s="153">
        <v>7</v>
      </c>
      <c r="M119" s="153">
        <v>0.02</v>
      </c>
      <c r="N119" s="153"/>
      <c r="O119" s="153">
        <v>41</v>
      </c>
      <c r="P119" s="153">
        <v>37</v>
      </c>
      <c r="Q119" s="153"/>
      <c r="R119" s="153">
        <v>0</v>
      </c>
      <c r="S119" s="153">
        <v>15</v>
      </c>
      <c r="T119" s="153">
        <v>0.7</v>
      </c>
    </row>
    <row r="120" spans="2:20" s="154" customFormat="1" ht="26.25" customHeight="1">
      <c r="B120" s="146">
        <v>96</v>
      </c>
      <c r="C120" s="316" t="s">
        <v>342</v>
      </c>
      <c r="D120" s="316"/>
      <c r="E120" s="153">
        <v>250</v>
      </c>
      <c r="F120" s="153">
        <v>2.6</v>
      </c>
      <c r="G120" s="153">
        <v>6.1</v>
      </c>
      <c r="H120" s="153">
        <v>17</v>
      </c>
      <c r="I120" s="153">
        <v>133.69999999999999</v>
      </c>
      <c r="J120" s="153">
        <v>0.12</v>
      </c>
      <c r="K120" s="153">
        <v>7.3999999999999996E-2</v>
      </c>
      <c r="L120" s="153">
        <v>16</v>
      </c>
      <c r="M120" s="153">
        <v>0.04</v>
      </c>
      <c r="N120" s="153">
        <v>0</v>
      </c>
      <c r="O120" s="153">
        <v>25.3</v>
      </c>
      <c r="P120" s="153">
        <v>71.099999999999994</v>
      </c>
      <c r="Q120" s="153">
        <v>0</v>
      </c>
      <c r="R120" s="153">
        <v>0</v>
      </c>
      <c r="S120" s="153">
        <v>26.7</v>
      </c>
      <c r="T120" s="153">
        <v>0.95</v>
      </c>
    </row>
    <row r="121" spans="2:20" s="154" customFormat="1" ht="18" customHeight="1">
      <c r="B121" s="153">
        <v>266</v>
      </c>
      <c r="C121" s="315" t="s">
        <v>406</v>
      </c>
      <c r="D121" s="315"/>
      <c r="E121" s="153">
        <v>100</v>
      </c>
      <c r="F121" s="153">
        <v>18.5</v>
      </c>
      <c r="G121" s="153">
        <v>25.9</v>
      </c>
      <c r="H121" s="153">
        <v>4.8</v>
      </c>
      <c r="I121" s="153">
        <v>326</v>
      </c>
      <c r="J121" s="153">
        <v>0.23</v>
      </c>
      <c r="K121" s="153">
        <v>0.26300000000000001</v>
      </c>
      <c r="L121" s="153">
        <v>0.5</v>
      </c>
      <c r="M121" s="153">
        <v>0.05</v>
      </c>
      <c r="N121" s="153">
        <v>7.4999999999999997E-2</v>
      </c>
      <c r="O121" s="153">
        <v>60.6</v>
      </c>
      <c r="P121" s="153">
        <v>222.4</v>
      </c>
      <c r="Q121" s="153">
        <v>2.85</v>
      </c>
      <c r="R121" s="153">
        <v>0.05</v>
      </c>
      <c r="S121" s="153">
        <v>30.6</v>
      </c>
      <c r="T121" s="153">
        <v>2.41</v>
      </c>
    </row>
    <row r="122" spans="2:20" s="154" customFormat="1" ht="29.25" customHeight="1">
      <c r="B122" s="153">
        <v>312</v>
      </c>
      <c r="C122" s="315" t="s">
        <v>286</v>
      </c>
      <c r="D122" s="315"/>
      <c r="E122" s="153">
        <v>180</v>
      </c>
      <c r="F122" s="153">
        <v>3.95</v>
      </c>
      <c r="G122" s="153">
        <v>8.4700000000000006</v>
      </c>
      <c r="H122" s="153">
        <v>26.65</v>
      </c>
      <c r="I122" s="153">
        <v>198.65</v>
      </c>
      <c r="J122" s="153">
        <v>0.19</v>
      </c>
      <c r="K122" s="153">
        <v>0.16</v>
      </c>
      <c r="L122" s="153">
        <v>31.33</v>
      </c>
      <c r="M122" s="153">
        <v>9.6000000000000002E-2</v>
      </c>
      <c r="N122" s="153">
        <v>1.8</v>
      </c>
      <c r="O122" s="153">
        <v>51.05</v>
      </c>
      <c r="P122" s="153">
        <v>117.3</v>
      </c>
      <c r="Q122" s="153">
        <v>0.35899999999999999</v>
      </c>
      <c r="R122" s="153">
        <v>1E-3</v>
      </c>
      <c r="S122" s="153">
        <v>39.67</v>
      </c>
      <c r="T122" s="153">
        <v>1.43</v>
      </c>
    </row>
    <row r="123" spans="2:20" s="154" customFormat="1" ht="28.5" customHeight="1">
      <c r="B123" s="153">
        <v>349</v>
      </c>
      <c r="C123" s="315" t="s">
        <v>153</v>
      </c>
      <c r="D123" s="315"/>
      <c r="E123" s="153">
        <v>200</v>
      </c>
      <c r="F123" s="153">
        <v>0.22</v>
      </c>
      <c r="G123" s="153"/>
      <c r="H123" s="153">
        <v>24.42</v>
      </c>
      <c r="I123" s="153">
        <v>98.56</v>
      </c>
      <c r="J123" s="153"/>
      <c r="K123" s="153"/>
      <c r="L123" s="153">
        <v>0.2</v>
      </c>
      <c r="M123" s="153"/>
      <c r="N123" s="153"/>
      <c r="O123" s="153">
        <v>22.6</v>
      </c>
      <c r="P123" s="153">
        <v>7.7</v>
      </c>
      <c r="Q123" s="153">
        <v>0</v>
      </c>
      <c r="R123" s="153">
        <v>0</v>
      </c>
      <c r="S123" s="153">
        <v>3</v>
      </c>
      <c r="T123" s="153">
        <v>0.66</v>
      </c>
    </row>
    <row r="124" spans="2:20" s="154" customFormat="1" ht="18" customHeight="1">
      <c r="B124" s="153" t="s">
        <v>270</v>
      </c>
      <c r="C124" s="315" t="s">
        <v>135</v>
      </c>
      <c r="D124" s="315"/>
      <c r="E124" s="153">
        <v>40</v>
      </c>
      <c r="F124" s="153">
        <v>2.64</v>
      </c>
      <c r="G124" s="153">
        <v>0.48</v>
      </c>
      <c r="H124" s="153">
        <v>13.68</v>
      </c>
      <c r="I124" s="153">
        <v>69.599999999999994</v>
      </c>
      <c r="J124" s="153">
        <v>0.08</v>
      </c>
      <c r="K124" s="153">
        <v>0.04</v>
      </c>
      <c r="L124" s="153">
        <v>0</v>
      </c>
      <c r="M124" s="153">
        <v>0</v>
      </c>
      <c r="N124" s="153">
        <v>2.4</v>
      </c>
      <c r="O124" s="153">
        <v>14</v>
      </c>
      <c r="P124" s="153">
        <v>63.2</v>
      </c>
      <c r="Q124" s="153">
        <v>1.2</v>
      </c>
      <c r="R124" s="153">
        <v>1E-3</v>
      </c>
      <c r="S124" s="153">
        <v>9.4</v>
      </c>
      <c r="T124" s="153">
        <v>0.78</v>
      </c>
    </row>
    <row r="125" spans="2:20" s="154" customFormat="1" ht="18" customHeight="1">
      <c r="B125" s="153" t="s">
        <v>270</v>
      </c>
      <c r="C125" s="315" t="s">
        <v>35</v>
      </c>
      <c r="D125" s="315"/>
      <c r="E125" s="153">
        <v>30</v>
      </c>
      <c r="F125" s="153">
        <v>1.52</v>
      </c>
      <c r="G125" s="153">
        <v>0.16</v>
      </c>
      <c r="H125" s="153">
        <v>9.84</v>
      </c>
      <c r="I125" s="153">
        <v>46.9</v>
      </c>
      <c r="J125" s="153">
        <v>0.02</v>
      </c>
      <c r="K125" s="153">
        <v>0.01</v>
      </c>
      <c r="L125" s="153">
        <v>0.44</v>
      </c>
      <c r="M125" s="153">
        <v>0</v>
      </c>
      <c r="N125" s="153">
        <v>0.7</v>
      </c>
      <c r="O125" s="153">
        <v>4</v>
      </c>
      <c r="P125" s="153">
        <v>13</v>
      </c>
      <c r="Q125" s="153">
        <v>8.0000000000000002E-3</v>
      </c>
      <c r="R125" s="153">
        <v>1E-3</v>
      </c>
      <c r="S125" s="153">
        <v>0</v>
      </c>
      <c r="T125" s="153">
        <v>0.22</v>
      </c>
    </row>
    <row r="126" spans="2:20" s="154" customFormat="1" ht="27.75" customHeight="1">
      <c r="B126" s="311" t="s">
        <v>271</v>
      </c>
      <c r="C126" s="311"/>
      <c r="D126" s="311"/>
      <c r="E126" s="164">
        <f>SUM(E119:E125)</f>
        <v>900</v>
      </c>
      <c r="F126" s="164">
        <f t="shared" ref="F126:T126" si="24">SUM(F119:F125)</f>
        <v>31.33</v>
      </c>
      <c r="G126" s="164">
        <f t="shared" si="24"/>
        <v>50.009999999999991</v>
      </c>
      <c r="H126" s="164">
        <f t="shared" si="24"/>
        <v>104.09</v>
      </c>
      <c r="I126" s="164">
        <f t="shared" si="24"/>
        <v>992.41000000000008</v>
      </c>
      <c r="J126" s="164">
        <f t="shared" si="24"/>
        <v>0.66</v>
      </c>
      <c r="K126" s="164">
        <f t="shared" si="24"/>
        <v>0.54700000000000004</v>
      </c>
      <c r="L126" s="164">
        <f t="shared" si="24"/>
        <v>55.47</v>
      </c>
      <c r="M126" s="164">
        <f t="shared" si="24"/>
        <v>0.20600000000000002</v>
      </c>
      <c r="N126" s="164">
        <f t="shared" si="24"/>
        <v>4.9750000000000005</v>
      </c>
      <c r="O126" s="164">
        <f t="shared" si="24"/>
        <v>218.54999999999998</v>
      </c>
      <c r="P126" s="164">
        <f t="shared" si="24"/>
        <v>531.70000000000005</v>
      </c>
      <c r="Q126" s="164">
        <f t="shared" si="24"/>
        <v>4.4169999999999998</v>
      </c>
      <c r="R126" s="164">
        <f t="shared" si="24"/>
        <v>5.3000000000000005E-2</v>
      </c>
      <c r="S126" s="164">
        <f t="shared" si="24"/>
        <v>124.37000000000002</v>
      </c>
      <c r="T126" s="164">
        <f t="shared" si="24"/>
        <v>7.15</v>
      </c>
    </row>
    <row r="127" spans="2:20" s="154" customFormat="1" ht="18" customHeight="1">
      <c r="B127" s="311" t="s">
        <v>265</v>
      </c>
      <c r="C127" s="311"/>
      <c r="D127" s="311"/>
      <c r="E127" s="311"/>
      <c r="F127" s="172">
        <f t="shared" ref="F127:T127" si="25">F126/F134</f>
        <v>0.34811111111111109</v>
      </c>
      <c r="G127" s="172">
        <f t="shared" si="25"/>
        <v>0.54358695652173905</v>
      </c>
      <c r="H127" s="172">
        <f t="shared" si="25"/>
        <v>0.27177545691906008</v>
      </c>
      <c r="I127" s="172">
        <f t="shared" si="25"/>
        <v>0.36485661764705885</v>
      </c>
      <c r="J127" s="172">
        <f t="shared" si="25"/>
        <v>0.47142857142857147</v>
      </c>
      <c r="K127" s="172">
        <f t="shared" si="25"/>
        <v>0.34187499999999998</v>
      </c>
      <c r="L127" s="172">
        <f t="shared" si="25"/>
        <v>0.79242857142857137</v>
      </c>
      <c r="M127" s="172">
        <f t="shared" si="25"/>
        <v>0.22888888888888889</v>
      </c>
      <c r="N127" s="172">
        <f t="shared" si="25"/>
        <v>0.41458333333333336</v>
      </c>
      <c r="O127" s="172">
        <f t="shared" si="25"/>
        <v>0.18212499999999998</v>
      </c>
      <c r="P127" s="172">
        <f t="shared" si="25"/>
        <v>0.44308333333333338</v>
      </c>
      <c r="Q127" s="172">
        <f t="shared" si="25"/>
        <v>0.3155</v>
      </c>
      <c r="R127" s="172">
        <f t="shared" si="25"/>
        <v>0.53</v>
      </c>
      <c r="S127" s="172">
        <f t="shared" si="25"/>
        <v>0.41456666666666675</v>
      </c>
      <c r="T127" s="172">
        <f t="shared" si="25"/>
        <v>0.39722222222222225</v>
      </c>
    </row>
    <row r="128" spans="2:20" s="154" customFormat="1" ht="18" customHeight="1">
      <c r="B128" s="323" t="s">
        <v>272</v>
      </c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</row>
    <row r="129" spans="2:20" s="154" customFormat="1" ht="18" customHeight="1">
      <c r="B129" s="153" t="s">
        <v>270</v>
      </c>
      <c r="C129" s="315" t="s">
        <v>407</v>
      </c>
      <c r="D129" s="315"/>
      <c r="E129" s="153">
        <v>65</v>
      </c>
      <c r="F129" s="153">
        <v>4.16</v>
      </c>
      <c r="G129" s="153">
        <v>8.14</v>
      </c>
      <c r="H129" s="153">
        <v>33.799999999999997</v>
      </c>
      <c r="I129" s="153">
        <v>225.34</v>
      </c>
      <c r="J129" s="153">
        <v>0.06</v>
      </c>
      <c r="K129" s="153">
        <v>0.05</v>
      </c>
      <c r="L129" s="153">
        <v>0</v>
      </c>
      <c r="M129" s="153">
        <v>0.06</v>
      </c>
      <c r="N129" s="153"/>
      <c r="O129" s="153">
        <v>11.26</v>
      </c>
      <c r="P129" s="153">
        <v>0</v>
      </c>
      <c r="Q129" s="153"/>
      <c r="R129" s="153">
        <v>0</v>
      </c>
      <c r="S129" s="153">
        <v>0</v>
      </c>
      <c r="T129" s="153">
        <v>0.6</v>
      </c>
    </row>
    <row r="130" spans="2:20" s="154" customFormat="1" ht="18" customHeight="1">
      <c r="B130" s="146">
        <v>389</v>
      </c>
      <c r="C130" s="316" t="s">
        <v>305</v>
      </c>
      <c r="D130" s="316"/>
      <c r="E130" s="146">
        <v>200</v>
      </c>
      <c r="F130" s="146">
        <v>1</v>
      </c>
      <c r="G130" s="146">
        <v>0.2</v>
      </c>
      <c r="H130" s="146">
        <v>20.2</v>
      </c>
      <c r="I130" s="146">
        <v>87</v>
      </c>
      <c r="J130" s="146">
        <v>0</v>
      </c>
      <c r="K130" s="146">
        <v>0.08</v>
      </c>
      <c r="L130" s="146">
        <v>4</v>
      </c>
      <c r="M130" s="146">
        <v>0</v>
      </c>
      <c r="N130" s="146">
        <v>0</v>
      </c>
      <c r="O130" s="146">
        <v>31.1</v>
      </c>
      <c r="P130" s="146">
        <v>18</v>
      </c>
      <c r="Q130" s="146">
        <v>0</v>
      </c>
      <c r="R130" s="146">
        <v>0</v>
      </c>
      <c r="S130" s="146">
        <v>8</v>
      </c>
      <c r="T130" s="146">
        <v>0.72</v>
      </c>
    </row>
    <row r="131" spans="2:20" s="154" customFormat="1" ht="18" customHeight="1">
      <c r="B131" s="312" t="s">
        <v>274</v>
      </c>
      <c r="C131" s="313"/>
      <c r="D131" s="314"/>
      <c r="E131" s="164">
        <f>E129+E130</f>
        <v>265</v>
      </c>
      <c r="F131" s="164">
        <f t="shared" ref="F131:T131" si="26">F129+F130</f>
        <v>5.16</v>
      </c>
      <c r="G131" s="164">
        <f t="shared" si="26"/>
        <v>8.34</v>
      </c>
      <c r="H131" s="164">
        <f t="shared" si="26"/>
        <v>54</v>
      </c>
      <c r="I131" s="164">
        <f t="shared" si="26"/>
        <v>312.34000000000003</v>
      </c>
      <c r="J131" s="164">
        <f t="shared" si="26"/>
        <v>0.06</v>
      </c>
      <c r="K131" s="164">
        <f t="shared" si="26"/>
        <v>0.13</v>
      </c>
      <c r="L131" s="164">
        <f t="shared" si="26"/>
        <v>4</v>
      </c>
      <c r="M131" s="164">
        <f t="shared" si="26"/>
        <v>0.06</v>
      </c>
      <c r="N131" s="164">
        <f t="shared" si="26"/>
        <v>0</v>
      </c>
      <c r="O131" s="164">
        <f t="shared" si="26"/>
        <v>42.36</v>
      </c>
      <c r="P131" s="164">
        <f t="shared" si="26"/>
        <v>18</v>
      </c>
      <c r="Q131" s="164">
        <f t="shared" si="26"/>
        <v>0</v>
      </c>
      <c r="R131" s="164">
        <f t="shared" si="26"/>
        <v>0</v>
      </c>
      <c r="S131" s="164">
        <f t="shared" si="26"/>
        <v>8</v>
      </c>
      <c r="T131" s="164">
        <f t="shared" si="26"/>
        <v>1.3199999999999998</v>
      </c>
    </row>
    <row r="132" spans="2:20" s="154" customFormat="1" ht="18" customHeight="1">
      <c r="B132" s="311" t="s">
        <v>265</v>
      </c>
      <c r="C132" s="311"/>
      <c r="D132" s="311"/>
      <c r="E132" s="311"/>
      <c r="F132" s="172">
        <f>F131/F134</f>
        <v>5.7333333333333333E-2</v>
      </c>
      <c r="G132" s="172">
        <f t="shared" ref="G132:T132" si="27">G131/G134</f>
        <v>9.0652173913043477E-2</v>
      </c>
      <c r="H132" s="172">
        <f t="shared" si="27"/>
        <v>0.14099216710182769</v>
      </c>
      <c r="I132" s="172">
        <f t="shared" si="27"/>
        <v>0.11483088235294119</v>
      </c>
      <c r="J132" s="172">
        <f t="shared" si="27"/>
        <v>4.2857142857142858E-2</v>
      </c>
      <c r="K132" s="172">
        <f t="shared" si="27"/>
        <v>8.1250000000000003E-2</v>
      </c>
      <c r="L132" s="172">
        <f t="shared" si="27"/>
        <v>5.7142857142857141E-2</v>
      </c>
      <c r="M132" s="172">
        <f t="shared" si="27"/>
        <v>6.6666666666666666E-2</v>
      </c>
      <c r="N132" s="172">
        <f t="shared" si="27"/>
        <v>0</v>
      </c>
      <c r="O132" s="172">
        <f t="shared" si="27"/>
        <v>3.5299999999999998E-2</v>
      </c>
      <c r="P132" s="172">
        <f t="shared" si="27"/>
        <v>1.4999999999999999E-2</v>
      </c>
      <c r="Q132" s="172">
        <f t="shared" si="27"/>
        <v>0</v>
      </c>
      <c r="R132" s="172">
        <f t="shared" si="27"/>
        <v>0</v>
      </c>
      <c r="S132" s="172">
        <f t="shared" si="27"/>
        <v>2.6666666666666668E-2</v>
      </c>
      <c r="T132" s="172">
        <f t="shared" si="27"/>
        <v>7.333333333333332E-2</v>
      </c>
    </row>
    <row r="133" spans="2:20" s="154" customFormat="1" ht="18" customHeight="1">
      <c r="B133" s="311" t="s">
        <v>275</v>
      </c>
      <c r="C133" s="311"/>
      <c r="D133" s="311"/>
      <c r="E133" s="311"/>
      <c r="F133" s="164">
        <v>60.4</v>
      </c>
      <c r="G133" s="164">
        <v>69</v>
      </c>
      <c r="H133" s="164">
        <v>236.2</v>
      </c>
      <c r="I133" s="164">
        <v>1801.5</v>
      </c>
      <c r="J133" s="164">
        <v>1.1399999999999999</v>
      </c>
      <c r="K133" s="164">
        <v>1.1499999999999999</v>
      </c>
      <c r="L133" s="164">
        <v>80.400000000000006</v>
      </c>
      <c r="M133" s="164">
        <v>0.46</v>
      </c>
      <c r="N133" s="164">
        <v>8.69</v>
      </c>
      <c r="O133" s="164">
        <v>516.79999999999995</v>
      </c>
      <c r="P133" s="164">
        <v>989.6</v>
      </c>
      <c r="Q133" s="164">
        <v>9.1</v>
      </c>
      <c r="R133" s="164">
        <v>0.10199999999999999</v>
      </c>
      <c r="S133" s="164">
        <v>212.85</v>
      </c>
      <c r="T133" s="164">
        <v>15</v>
      </c>
    </row>
    <row r="134" spans="2:20" s="154" customFormat="1" ht="18" customHeight="1">
      <c r="B134" s="311" t="s">
        <v>276</v>
      </c>
      <c r="C134" s="311"/>
      <c r="D134" s="311"/>
      <c r="E134" s="311"/>
      <c r="F134" s="153">
        <v>90</v>
      </c>
      <c r="G134" s="153">
        <v>92</v>
      </c>
      <c r="H134" s="153">
        <v>383</v>
      </c>
      <c r="I134" s="153">
        <v>2720</v>
      </c>
      <c r="J134" s="153">
        <v>1.4</v>
      </c>
      <c r="K134" s="153">
        <v>1.6</v>
      </c>
      <c r="L134" s="153">
        <v>70</v>
      </c>
      <c r="M134" s="153">
        <v>0.9</v>
      </c>
      <c r="N134" s="153">
        <v>12</v>
      </c>
      <c r="O134" s="153">
        <v>1200</v>
      </c>
      <c r="P134" s="153">
        <v>1200</v>
      </c>
      <c r="Q134" s="153">
        <v>14</v>
      </c>
      <c r="R134" s="153">
        <v>0.1</v>
      </c>
      <c r="S134" s="153">
        <v>300</v>
      </c>
      <c r="T134" s="153">
        <v>18</v>
      </c>
    </row>
    <row r="135" spans="2:20" s="154" customFormat="1" ht="18" customHeight="1">
      <c r="B135" s="311" t="s">
        <v>265</v>
      </c>
      <c r="C135" s="311"/>
      <c r="D135" s="311"/>
      <c r="E135" s="311"/>
      <c r="F135" s="172">
        <v>0.67100000000000004</v>
      </c>
      <c r="G135" s="172">
        <v>0.75</v>
      </c>
      <c r="H135" s="172">
        <v>0.61699999999999999</v>
      </c>
      <c r="I135" s="172">
        <v>0.66200000000000003</v>
      </c>
      <c r="J135" s="172">
        <v>0.81799999999999995</v>
      </c>
      <c r="K135" s="172">
        <v>0.71599999999999997</v>
      </c>
      <c r="L135" s="172">
        <v>1.1479999999999999</v>
      </c>
      <c r="M135" s="173">
        <v>0.51</v>
      </c>
      <c r="N135" s="173">
        <v>0.72</v>
      </c>
      <c r="O135" s="172">
        <v>0.43099999999999999</v>
      </c>
      <c r="P135" s="172">
        <v>0.82499999999999996</v>
      </c>
      <c r="Q135" s="172">
        <v>0.65</v>
      </c>
      <c r="R135" s="173">
        <v>1.02</v>
      </c>
      <c r="S135" s="172">
        <v>0.71</v>
      </c>
      <c r="T135" s="172">
        <v>0.83299999999999996</v>
      </c>
    </row>
    <row r="136" spans="2:20" s="154" customFormat="1" ht="18" customHeight="1">
      <c r="B136" s="165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324" t="s">
        <v>229</v>
      </c>
      <c r="N136" s="324"/>
      <c r="O136" s="324"/>
      <c r="P136" s="324"/>
      <c r="Q136" s="324"/>
      <c r="R136" s="324"/>
      <c r="S136" s="324"/>
      <c r="T136" s="324"/>
    </row>
    <row r="137" spans="2:20" s="154" customFormat="1" ht="18" customHeight="1">
      <c r="B137" s="323" t="s">
        <v>300</v>
      </c>
      <c r="C137" s="323"/>
      <c r="D137" s="323"/>
      <c r="E137" s="323"/>
      <c r="F137" s="323"/>
      <c r="G137" s="323"/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</row>
    <row r="138" spans="2:20" s="154" customFormat="1" ht="18" customHeight="1">
      <c r="B138" s="311" t="s">
        <v>231</v>
      </c>
      <c r="C138" s="311"/>
      <c r="D138" s="153"/>
      <c r="E138" s="153"/>
      <c r="F138" s="153"/>
      <c r="G138" s="324" t="s">
        <v>301</v>
      </c>
      <c r="H138" s="324"/>
      <c r="I138" s="324"/>
      <c r="J138" s="153"/>
      <c r="K138" s="153"/>
      <c r="L138" s="311" t="s">
        <v>233</v>
      </c>
      <c r="M138" s="311"/>
      <c r="N138" s="324" t="s">
        <v>302</v>
      </c>
      <c r="O138" s="324"/>
      <c r="P138" s="324"/>
      <c r="Q138" s="324"/>
      <c r="R138" s="153"/>
      <c r="S138" s="153"/>
      <c r="T138" s="153"/>
    </row>
    <row r="139" spans="2:20" s="154" customFormat="1" ht="18" customHeight="1">
      <c r="B139" s="153"/>
      <c r="C139" s="153"/>
      <c r="D139" s="153"/>
      <c r="E139" s="323" t="s">
        <v>235</v>
      </c>
      <c r="F139" s="323"/>
      <c r="G139" s="153">
        <v>1</v>
      </c>
      <c r="H139" s="153"/>
      <c r="I139" s="153"/>
      <c r="J139" s="153"/>
      <c r="K139" s="153"/>
      <c r="L139" s="311" t="s">
        <v>236</v>
      </c>
      <c r="M139" s="311"/>
      <c r="N139" s="324" t="s">
        <v>320</v>
      </c>
      <c r="O139" s="324"/>
      <c r="P139" s="324"/>
      <c r="Q139" s="324"/>
      <c r="R139" s="324"/>
      <c r="S139" s="324"/>
      <c r="T139" s="324"/>
    </row>
    <row r="140" spans="2:20" s="154" customFormat="1" ht="18" customHeight="1">
      <c r="B140" s="166" t="s">
        <v>279</v>
      </c>
      <c r="C140" s="340" t="s">
        <v>239</v>
      </c>
      <c r="D140" s="340"/>
      <c r="E140" s="340" t="s">
        <v>240</v>
      </c>
      <c r="F140" s="340" t="s">
        <v>241</v>
      </c>
      <c r="G140" s="340"/>
      <c r="H140" s="340"/>
      <c r="I140" s="166" t="s">
        <v>242</v>
      </c>
      <c r="J140" s="340" t="s">
        <v>244</v>
      </c>
      <c r="K140" s="340"/>
      <c r="L140" s="340"/>
      <c r="M140" s="340"/>
      <c r="N140" s="340"/>
      <c r="O140" s="340" t="s">
        <v>245</v>
      </c>
      <c r="P140" s="340"/>
      <c r="Q140" s="340"/>
      <c r="R140" s="340"/>
      <c r="S140" s="340"/>
      <c r="T140" s="340"/>
    </row>
    <row r="141" spans="2:20" s="154" customFormat="1" ht="18" customHeight="1">
      <c r="B141" s="166" t="s">
        <v>280</v>
      </c>
      <c r="C141" s="340"/>
      <c r="D141" s="340"/>
      <c r="E141" s="340"/>
      <c r="F141" s="166" t="s">
        <v>246</v>
      </c>
      <c r="G141" s="166" t="s">
        <v>247</v>
      </c>
      <c r="H141" s="166" t="s">
        <v>248</v>
      </c>
      <c r="I141" s="166" t="s">
        <v>243</v>
      </c>
      <c r="J141" s="166" t="s">
        <v>249</v>
      </c>
      <c r="K141" s="166" t="s">
        <v>250</v>
      </c>
      <c r="L141" s="166" t="s">
        <v>251</v>
      </c>
      <c r="M141" s="166" t="s">
        <v>252</v>
      </c>
      <c r="N141" s="166" t="s">
        <v>253</v>
      </c>
      <c r="O141" s="166" t="s">
        <v>254</v>
      </c>
      <c r="P141" s="166" t="s">
        <v>255</v>
      </c>
      <c r="Q141" s="166" t="s">
        <v>256</v>
      </c>
      <c r="R141" s="166" t="s">
        <v>257</v>
      </c>
      <c r="S141" s="166" t="s">
        <v>258</v>
      </c>
      <c r="T141" s="166" t="s">
        <v>259</v>
      </c>
    </row>
    <row r="142" spans="2:20" s="154" customFormat="1" ht="18" customHeight="1">
      <c r="B142" s="167">
        <v>1</v>
      </c>
      <c r="C142" s="325">
        <v>2</v>
      </c>
      <c r="D142" s="325"/>
      <c r="E142" s="167">
        <v>3</v>
      </c>
      <c r="F142" s="167">
        <v>4</v>
      </c>
      <c r="G142" s="167">
        <v>5</v>
      </c>
      <c r="H142" s="167">
        <v>6</v>
      </c>
      <c r="I142" s="167">
        <v>7</v>
      </c>
      <c r="J142" s="167">
        <v>8</v>
      </c>
      <c r="K142" s="167">
        <v>9</v>
      </c>
      <c r="L142" s="167">
        <v>10</v>
      </c>
      <c r="M142" s="167">
        <v>11</v>
      </c>
      <c r="N142" s="167">
        <v>12</v>
      </c>
      <c r="O142" s="167">
        <v>13</v>
      </c>
      <c r="P142" s="167">
        <v>14</v>
      </c>
      <c r="Q142" s="167">
        <v>15</v>
      </c>
      <c r="R142" s="167">
        <v>16</v>
      </c>
      <c r="S142" s="167">
        <v>17</v>
      </c>
      <c r="T142" s="167">
        <v>18</v>
      </c>
    </row>
    <row r="143" spans="2:20" s="154" customFormat="1" ht="18" customHeight="1">
      <c r="B143" s="323" t="s">
        <v>260</v>
      </c>
      <c r="C143" s="323"/>
      <c r="D143" s="323"/>
      <c r="E143" s="323"/>
      <c r="F143" s="323"/>
      <c r="G143" s="323"/>
      <c r="H143" s="323"/>
      <c r="I143" s="323"/>
      <c r="J143" s="323"/>
      <c r="K143" s="323"/>
      <c r="L143" s="323"/>
      <c r="M143" s="323"/>
      <c r="N143" s="323"/>
      <c r="O143" s="323"/>
      <c r="P143" s="323"/>
      <c r="Q143" s="323"/>
      <c r="R143" s="323"/>
      <c r="S143" s="323"/>
      <c r="T143" s="323"/>
    </row>
    <row r="144" spans="2:20" s="154" customFormat="1" ht="18" customHeight="1">
      <c r="B144" s="153">
        <v>210</v>
      </c>
      <c r="C144" s="315" t="s">
        <v>303</v>
      </c>
      <c r="D144" s="315"/>
      <c r="E144" s="153">
        <v>250</v>
      </c>
      <c r="F144" s="153">
        <v>20.36</v>
      </c>
      <c r="G144" s="153">
        <v>23.74</v>
      </c>
      <c r="H144" s="153">
        <v>6.3</v>
      </c>
      <c r="I144" s="153">
        <v>318.7</v>
      </c>
      <c r="J144" s="153">
        <v>0.15</v>
      </c>
      <c r="K144" s="153">
        <v>0.34</v>
      </c>
      <c r="L144" s="153">
        <v>0.41</v>
      </c>
      <c r="M144" s="153">
        <v>0.05</v>
      </c>
      <c r="N144" s="153">
        <v>2.4249999999999998</v>
      </c>
      <c r="O144" s="153">
        <v>164.23</v>
      </c>
      <c r="P144" s="153">
        <v>310.63</v>
      </c>
      <c r="Q144" s="153">
        <v>1.69</v>
      </c>
      <c r="R144" s="153">
        <v>0.04</v>
      </c>
      <c r="S144" s="153">
        <v>26.94</v>
      </c>
      <c r="T144" s="153">
        <v>1.89</v>
      </c>
    </row>
    <row r="145" spans="2:20" s="154" customFormat="1" ht="18" customHeight="1">
      <c r="B145" s="153">
        <v>338</v>
      </c>
      <c r="C145" s="315" t="s">
        <v>416</v>
      </c>
      <c r="D145" s="315"/>
      <c r="E145" s="153">
        <v>100</v>
      </c>
      <c r="F145" s="153">
        <v>0.4</v>
      </c>
      <c r="G145" s="153">
        <v>0.4</v>
      </c>
      <c r="H145" s="153">
        <v>9.8000000000000007</v>
      </c>
      <c r="I145" s="153">
        <v>44.4</v>
      </c>
      <c r="J145" s="153">
        <v>0.04</v>
      </c>
      <c r="K145" s="153">
        <v>0.02</v>
      </c>
      <c r="L145" s="153">
        <v>10</v>
      </c>
      <c r="M145" s="153">
        <v>0</v>
      </c>
      <c r="N145" s="153">
        <v>0.2</v>
      </c>
      <c r="O145" s="153">
        <v>16</v>
      </c>
      <c r="P145" s="153">
        <v>11</v>
      </c>
      <c r="Q145" s="153">
        <v>0</v>
      </c>
      <c r="R145" s="153">
        <v>0</v>
      </c>
      <c r="S145" s="153">
        <v>9</v>
      </c>
      <c r="T145" s="153">
        <v>2.2000000000000002</v>
      </c>
    </row>
    <row r="146" spans="2:20" s="154" customFormat="1" ht="15" customHeight="1">
      <c r="B146" s="146">
        <v>376</v>
      </c>
      <c r="C146" s="316" t="s">
        <v>57</v>
      </c>
      <c r="D146" s="316"/>
      <c r="E146" s="146">
        <v>200</v>
      </c>
      <c r="F146" s="146">
        <v>0.2</v>
      </c>
      <c r="G146" s="146">
        <v>0.05</v>
      </c>
      <c r="H146" s="146">
        <v>15.01</v>
      </c>
      <c r="I146" s="146">
        <v>61</v>
      </c>
      <c r="J146" s="146">
        <v>0</v>
      </c>
      <c r="K146" s="146">
        <v>0.01</v>
      </c>
      <c r="L146" s="146">
        <v>9</v>
      </c>
      <c r="M146" s="146">
        <v>1E-4</v>
      </c>
      <c r="N146" s="146">
        <v>4.4999999999999998E-2</v>
      </c>
      <c r="O146" s="146">
        <v>5.25</v>
      </c>
      <c r="P146" s="146">
        <v>8.24</v>
      </c>
      <c r="Q146" s="146">
        <v>8.0000000000000002E-3</v>
      </c>
      <c r="R146" s="146">
        <v>0</v>
      </c>
      <c r="S146" s="146">
        <v>4.4000000000000004</v>
      </c>
      <c r="T146" s="146">
        <v>0.87</v>
      </c>
    </row>
    <row r="147" spans="2:20" s="154" customFormat="1" ht="18" customHeight="1">
      <c r="B147" s="153" t="s">
        <v>270</v>
      </c>
      <c r="C147" s="315" t="s">
        <v>326</v>
      </c>
      <c r="D147" s="315"/>
      <c r="E147" s="153">
        <v>40</v>
      </c>
      <c r="F147" s="153">
        <v>2.67</v>
      </c>
      <c r="G147" s="153">
        <v>0.53</v>
      </c>
      <c r="H147" s="153">
        <v>13.73</v>
      </c>
      <c r="I147" s="153">
        <v>70.400000000000006</v>
      </c>
      <c r="J147" s="153">
        <v>0.13</v>
      </c>
      <c r="K147" s="153">
        <v>1.2999999999999999E-2</v>
      </c>
      <c r="L147" s="153">
        <v>0.1</v>
      </c>
      <c r="M147" s="153">
        <v>0</v>
      </c>
      <c r="N147" s="153">
        <v>0.93</v>
      </c>
      <c r="O147" s="153">
        <v>14</v>
      </c>
      <c r="P147" s="153">
        <v>63.2</v>
      </c>
      <c r="Q147" s="153">
        <v>1.2999999999999999E-2</v>
      </c>
      <c r="R147" s="153">
        <v>1.2999999999999999E-2</v>
      </c>
      <c r="S147" s="153">
        <v>18.8</v>
      </c>
      <c r="T147" s="153">
        <v>1.6</v>
      </c>
    </row>
    <row r="148" spans="2:20" s="154" customFormat="1" ht="18" customHeight="1">
      <c r="B148" s="311" t="s">
        <v>264</v>
      </c>
      <c r="C148" s="311"/>
      <c r="D148" s="311"/>
      <c r="E148" s="164">
        <f>SUM(E144:E147)</f>
        <v>590</v>
      </c>
      <c r="F148" s="164">
        <f t="shared" ref="F148:T148" si="28">SUM(F144:F147)</f>
        <v>23.629999999999995</v>
      </c>
      <c r="G148" s="164">
        <f t="shared" si="28"/>
        <v>24.72</v>
      </c>
      <c r="H148" s="164">
        <f t="shared" si="28"/>
        <v>44.84</v>
      </c>
      <c r="I148" s="164">
        <f t="shared" si="28"/>
        <v>494.5</v>
      </c>
      <c r="J148" s="164">
        <f t="shared" si="28"/>
        <v>0.32</v>
      </c>
      <c r="K148" s="164">
        <f t="shared" si="28"/>
        <v>0.38300000000000006</v>
      </c>
      <c r="L148" s="164">
        <f t="shared" si="28"/>
        <v>19.510000000000002</v>
      </c>
      <c r="M148" s="164">
        <f t="shared" si="28"/>
        <v>5.0100000000000006E-2</v>
      </c>
      <c r="N148" s="164">
        <f t="shared" si="28"/>
        <v>3.6</v>
      </c>
      <c r="O148" s="164">
        <f t="shared" si="28"/>
        <v>199.48</v>
      </c>
      <c r="P148" s="164">
        <f t="shared" si="28"/>
        <v>393.07</v>
      </c>
      <c r="Q148" s="164">
        <f t="shared" si="28"/>
        <v>1.7109999999999999</v>
      </c>
      <c r="R148" s="164">
        <f t="shared" si="28"/>
        <v>5.2999999999999999E-2</v>
      </c>
      <c r="S148" s="164">
        <f t="shared" si="28"/>
        <v>59.14</v>
      </c>
      <c r="T148" s="164">
        <f t="shared" si="28"/>
        <v>6.5600000000000005</v>
      </c>
    </row>
    <row r="149" spans="2:20" s="154" customFormat="1" ht="18" customHeight="1">
      <c r="B149" s="311" t="s">
        <v>265</v>
      </c>
      <c r="C149" s="311"/>
      <c r="D149" s="311"/>
      <c r="E149" s="311"/>
      <c r="F149" s="172">
        <f>F148/F166</f>
        <v>0.26255555555555549</v>
      </c>
      <c r="G149" s="172">
        <f t="shared" ref="G149:T149" si="29">G148/G166</f>
        <v>0.26869565217391306</v>
      </c>
      <c r="H149" s="172">
        <f t="shared" si="29"/>
        <v>0.11707571801566581</v>
      </c>
      <c r="I149" s="172">
        <f t="shared" si="29"/>
        <v>0.18180147058823529</v>
      </c>
      <c r="J149" s="172">
        <f t="shared" si="29"/>
        <v>0.22857142857142859</v>
      </c>
      <c r="K149" s="172">
        <f t="shared" si="29"/>
        <v>0.23937500000000003</v>
      </c>
      <c r="L149" s="172">
        <f t="shared" si="29"/>
        <v>0.27871428571428575</v>
      </c>
      <c r="M149" s="172">
        <f t="shared" si="29"/>
        <v>5.566666666666667E-2</v>
      </c>
      <c r="N149" s="172">
        <f t="shared" si="29"/>
        <v>0.3</v>
      </c>
      <c r="O149" s="172">
        <f t="shared" si="29"/>
        <v>0.16623333333333332</v>
      </c>
      <c r="P149" s="172">
        <f t="shared" si="29"/>
        <v>0.32755833333333334</v>
      </c>
      <c r="Q149" s="172">
        <f t="shared" si="29"/>
        <v>0.12221428571428571</v>
      </c>
      <c r="R149" s="172">
        <f t="shared" si="29"/>
        <v>0.52999999999999992</v>
      </c>
      <c r="S149" s="172">
        <f t="shared" si="29"/>
        <v>0.19713333333333333</v>
      </c>
      <c r="T149" s="172">
        <f t="shared" si="29"/>
        <v>0.36444444444444446</v>
      </c>
    </row>
    <row r="150" spans="2:20" s="154" customFormat="1" ht="18" customHeight="1">
      <c r="B150" s="323" t="s">
        <v>266</v>
      </c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3"/>
      <c r="S150" s="323"/>
      <c r="T150" s="323"/>
    </row>
    <row r="151" spans="2:20" s="154" customFormat="1" ht="26.25" customHeight="1">
      <c r="B151" s="153">
        <v>52</v>
      </c>
      <c r="C151" s="315" t="s">
        <v>136</v>
      </c>
      <c r="D151" s="315"/>
      <c r="E151" s="153">
        <v>100</v>
      </c>
      <c r="F151" s="153">
        <v>1.43</v>
      </c>
      <c r="G151" s="153">
        <v>5.08</v>
      </c>
      <c r="H151" s="153">
        <v>8.5500000000000007</v>
      </c>
      <c r="I151" s="153">
        <v>85.68</v>
      </c>
      <c r="J151" s="153">
        <v>0.02</v>
      </c>
      <c r="K151" s="153">
        <v>0.03</v>
      </c>
      <c r="L151" s="153">
        <v>9.5</v>
      </c>
      <c r="M151" s="153">
        <v>0.02</v>
      </c>
      <c r="N151" s="153">
        <v>0.17</v>
      </c>
      <c r="O151" s="153">
        <v>44.35</v>
      </c>
      <c r="P151" s="153">
        <v>42.73</v>
      </c>
      <c r="Q151" s="153">
        <v>0.72</v>
      </c>
      <c r="R151" s="153">
        <v>1.7000000000000001E-2</v>
      </c>
      <c r="S151" s="153">
        <v>21.5</v>
      </c>
      <c r="T151" s="153">
        <v>1.4</v>
      </c>
    </row>
    <row r="152" spans="2:20" s="154" customFormat="1" ht="26.25" customHeight="1">
      <c r="B152" s="153" t="s">
        <v>344</v>
      </c>
      <c r="C152" s="316" t="s">
        <v>218</v>
      </c>
      <c r="D152" s="316"/>
      <c r="E152" s="153">
        <v>250</v>
      </c>
      <c r="F152" s="153">
        <v>2.63</v>
      </c>
      <c r="G152" s="153">
        <v>2.63</v>
      </c>
      <c r="H152" s="153">
        <v>19.38</v>
      </c>
      <c r="I152" s="153">
        <v>112.5</v>
      </c>
      <c r="J152" s="153">
        <v>0.1</v>
      </c>
      <c r="K152" s="153">
        <v>0.05</v>
      </c>
      <c r="L152" s="153">
        <v>7</v>
      </c>
      <c r="M152" s="153">
        <v>0.1</v>
      </c>
      <c r="N152" s="153"/>
      <c r="O152" s="153">
        <v>15.8</v>
      </c>
      <c r="P152" s="153">
        <v>0</v>
      </c>
      <c r="Q152" s="153"/>
      <c r="R152" s="153">
        <v>0</v>
      </c>
      <c r="S152" s="153">
        <v>24</v>
      </c>
      <c r="T152" s="153">
        <v>0.9</v>
      </c>
    </row>
    <row r="153" spans="2:20" s="154" customFormat="1" ht="27" customHeight="1">
      <c r="B153" s="153">
        <v>295</v>
      </c>
      <c r="C153" s="316" t="s">
        <v>181</v>
      </c>
      <c r="D153" s="316"/>
      <c r="E153" s="153">
        <v>100</v>
      </c>
      <c r="F153" s="153">
        <v>15.24</v>
      </c>
      <c r="G153" s="153">
        <v>5.8</v>
      </c>
      <c r="H153" s="153">
        <v>10.16</v>
      </c>
      <c r="I153" s="153">
        <v>153.80000000000001</v>
      </c>
      <c r="J153" s="153">
        <v>0.09</v>
      </c>
      <c r="K153" s="153">
        <v>0.08</v>
      </c>
      <c r="L153" s="153">
        <v>0.24</v>
      </c>
      <c r="M153" s="153">
        <v>1E-3</v>
      </c>
      <c r="N153" s="153">
        <v>7.3999999999999996E-2</v>
      </c>
      <c r="O153" s="153">
        <v>14.03</v>
      </c>
      <c r="P153" s="153">
        <v>93.98</v>
      </c>
      <c r="Q153" s="153">
        <v>1.17</v>
      </c>
      <c r="R153" s="153">
        <v>0.04</v>
      </c>
      <c r="S153" s="153">
        <v>16.239999999999998</v>
      </c>
      <c r="T153" s="153">
        <v>1.89</v>
      </c>
    </row>
    <row r="154" spans="2:20" s="154" customFormat="1" ht="18" customHeight="1">
      <c r="B154" s="146" t="s">
        <v>345</v>
      </c>
      <c r="C154" s="316" t="s">
        <v>228</v>
      </c>
      <c r="D154" s="316"/>
      <c r="E154" s="153">
        <v>180</v>
      </c>
      <c r="F154" s="153">
        <v>4.32</v>
      </c>
      <c r="G154" s="153">
        <v>4.21</v>
      </c>
      <c r="H154" s="153">
        <v>43.96</v>
      </c>
      <c r="I154" s="153">
        <v>234.94</v>
      </c>
      <c r="J154" s="153">
        <v>0.09</v>
      </c>
      <c r="K154" s="153">
        <v>7.0000000000000007E-2</v>
      </c>
      <c r="L154" s="153">
        <v>9.92</v>
      </c>
      <c r="M154" s="153">
        <v>0.09</v>
      </c>
      <c r="N154" s="153"/>
      <c r="O154" s="153">
        <v>64.64</v>
      </c>
      <c r="P154" s="153">
        <v>0</v>
      </c>
      <c r="Q154" s="153"/>
      <c r="R154" s="153">
        <v>0</v>
      </c>
      <c r="S154" s="153">
        <v>70.599999999999994</v>
      </c>
      <c r="T154" s="153">
        <v>1.42</v>
      </c>
    </row>
    <row r="155" spans="2:20" s="154" customFormat="1" ht="18" customHeight="1">
      <c r="B155" s="153">
        <v>377</v>
      </c>
      <c r="C155" s="315" t="s">
        <v>70</v>
      </c>
      <c r="D155" s="315"/>
      <c r="E155" s="153" t="s">
        <v>72</v>
      </c>
      <c r="F155" s="153">
        <v>0.26</v>
      </c>
      <c r="G155" s="153">
        <v>0.06</v>
      </c>
      <c r="H155" s="153">
        <v>15.22</v>
      </c>
      <c r="I155" s="153">
        <v>62.5</v>
      </c>
      <c r="J155" s="153"/>
      <c r="K155" s="153">
        <v>0.01</v>
      </c>
      <c r="L155" s="153">
        <v>2.9</v>
      </c>
      <c r="M155" s="153">
        <v>0</v>
      </c>
      <c r="N155" s="153">
        <v>0.06</v>
      </c>
      <c r="O155" s="153">
        <v>8.0500000000000007</v>
      </c>
      <c r="P155" s="153">
        <v>9.7799999999999994</v>
      </c>
      <c r="Q155" s="153">
        <v>1.7000000000000001E-2</v>
      </c>
      <c r="R155" s="153">
        <v>0</v>
      </c>
      <c r="S155" s="153">
        <v>5.24</v>
      </c>
      <c r="T155" s="153">
        <v>0.87</v>
      </c>
    </row>
    <row r="156" spans="2:20" s="154" customFormat="1" ht="18" customHeight="1">
      <c r="B156" s="153" t="s">
        <v>270</v>
      </c>
      <c r="C156" s="315" t="s">
        <v>135</v>
      </c>
      <c r="D156" s="315"/>
      <c r="E156" s="153">
        <v>40</v>
      </c>
      <c r="F156" s="153">
        <v>2.64</v>
      </c>
      <c r="G156" s="153">
        <v>0.48</v>
      </c>
      <c r="H156" s="153">
        <v>13.68</v>
      </c>
      <c r="I156" s="153">
        <v>69.599999999999994</v>
      </c>
      <c r="J156" s="153">
        <v>0.08</v>
      </c>
      <c r="K156" s="153">
        <v>0.04</v>
      </c>
      <c r="L156" s="153">
        <v>0</v>
      </c>
      <c r="M156" s="153">
        <v>0</v>
      </c>
      <c r="N156" s="153">
        <v>2.4</v>
      </c>
      <c r="O156" s="153">
        <v>14</v>
      </c>
      <c r="P156" s="153">
        <v>63.2</v>
      </c>
      <c r="Q156" s="153">
        <v>1.2</v>
      </c>
      <c r="R156" s="153">
        <v>1E-3</v>
      </c>
      <c r="S156" s="153">
        <v>9.4</v>
      </c>
      <c r="T156" s="153">
        <v>0.78</v>
      </c>
    </row>
    <row r="157" spans="2:20" s="154" customFormat="1" ht="18" customHeight="1">
      <c r="B157" s="153" t="s">
        <v>270</v>
      </c>
      <c r="C157" s="315" t="s">
        <v>35</v>
      </c>
      <c r="D157" s="315"/>
      <c r="E157" s="153">
        <v>30</v>
      </c>
      <c r="F157" s="153">
        <v>1.52</v>
      </c>
      <c r="G157" s="153">
        <v>0.16</v>
      </c>
      <c r="H157" s="153">
        <v>9.84</v>
      </c>
      <c r="I157" s="153">
        <v>46.9</v>
      </c>
      <c r="J157" s="153">
        <v>0.02</v>
      </c>
      <c r="K157" s="153">
        <v>0.01</v>
      </c>
      <c r="L157" s="153">
        <v>0.44</v>
      </c>
      <c r="M157" s="153">
        <v>0</v>
      </c>
      <c r="N157" s="153">
        <v>0.7</v>
      </c>
      <c r="O157" s="153">
        <v>4</v>
      </c>
      <c r="P157" s="153">
        <v>13</v>
      </c>
      <c r="Q157" s="153">
        <v>8.0000000000000002E-3</v>
      </c>
      <c r="R157" s="153">
        <v>1E-3</v>
      </c>
      <c r="S157" s="153">
        <v>0</v>
      </c>
      <c r="T157" s="153">
        <v>0.22</v>
      </c>
    </row>
    <row r="158" spans="2:20" s="154" customFormat="1" ht="26.25" customHeight="1">
      <c r="B158" s="311" t="s">
        <v>271</v>
      </c>
      <c r="C158" s="311"/>
      <c r="D158" s="311"/>
      <c r="E158" s="164">
        <f>E151+E152+E153+E154+E156+E157+204</f>
        <v>904</v>
      </c>
      <c r="F158" s="164">
        <f>SUM(F151:F157)</f>
        <v>28.040000000000003</v>
      </c>
      <c r="G158" s="164">
        <f t="shared" ref="G158:T158" si="30">SUM(G151:G157)</f>
        <v>18.419999999999998</v>
      </c>
      <c r="H158" s="164">
        <f t="shared" si="30"/>
        <v>120.79000000000002</v>
      </c>
      <c r="I158" s="164">
        <f t="shared" si="30"/>
        <v>765.92000000000007</v>
      </c>
      <c r="J158" s="164">
        <f t="shared" si="30"/>
        <v>0.40000000000000008</v>
      </c>
      <c r="K158" s="164">
        <f t="shared" si="30"/>
        <v>0.29000000000000004</v>
      </c>
      <c r="L158" s="164">
        <f t="shared" si="30"/>
        <v>29.999999999999996</v>
      </c>
      <c r="M158" s="164">
        <f t="shared" si="30"/>
        <v>0.21100000000000002</v>
      </c>
      <c r="N158" s="164">
        <f t="shared" si="30"/>
        <v>3.4039999999999999</v>
      </c>
      <c r="O158" s="164">
        <f t="shared" si="30"/>
        <v>164.87</v>
      </c>
      <c r="P158" s="164">
        <f t="shared" si="30"/>
        <v>222.69</v>
      </c>
      <c r="Q158" s="164">
        <f t="shared" si="30"/>
        <v>3.1149999999999998</v>
      </c>
      <c r="R158" s="164">
        <f t="shared" si="30"/>
        <v>5.9000000000000004E-2</v>
      </c>
      <c r="S158" s="164">
        <f t="shared" si="30"/>
        <v>146.97999999999999</v>
      </c>
      <c r="T158" s="164">
        <f t="shared" si="30"/>
        <v>7.4799999999999995</v>
      </c>
    </row>
    <row r="159" spans="2:20" s="154" customFormat="1" ht="18" customHeight="1">
      <c r="B159" s="311" t="s">
        <v>265</v>
      </c>
      <c r="C159" s="311"/>
      <c r="D159" s="311"/>
      <c r="E159" s="311"/>
      <c r="F159" s="172">
        <f>F158/F166</f>
        <v>0.31155555555555559</v>
      </c>
      <c r="G159" s="172">
        <f t="shared" ref="G159:T159" si="31">G158/G166</f>
        <v>0.20021739130434782</v>
      </c>
      <c r="H159" s="172">
        <f t="shared" si="31"/>
        <v>0.31537859007832902</v>
      </c>
      <c r="I159" s="172">
        <f t="shared" si="31"/>
        <v>0.28158823529411769</v>
      </c>
      <c r="J159" s="172">
        <f t="shared" si="31"/>
        <v>0.28571428571428581</v>
      </c>
      <c r="K159" s="172">
        <f t="shared" si="31"/>
        <v>0.18125000000000002</v>
      </c>
      <c r="L159" s="172">
        <f t="shared" si="31"/>
        <v>0.42857142857142855</v>
      </c>
      <c r="M159" s="172">
        <f t="shared" si="31"/>
        <v>0.23444444444444446</v>
      </c>
      <c r="N159" s="172">
        <f t="shared" si="31"/>
        <v>0.28366666666666668</v>
      </c>
      <c r="O159" s="172">
        <f t="shared" si="31"/>
        <v>0.13739166666666666</v>
      </c>
      <c r="P159" s="172">
        <f t="shared" si="31"/>
        <v>0.18557499999999999</v>
      </c>
      <c r="Q159" s="172">
        <f t="shared" si="31"/>
        <v>0.22249999999999998</v>
      </c>
      <c r="R159" s="172">
        <f t="shared" si="31"/>
        <v>0.59</v>
      </c>
      <c r="S159" s="172">
        <f t="shared" si="31"/>
        <v>0.48993333333333328</v>
      </c>
      <c r="T159" s="172">
        <f t="shared" si="31"/>
        <v>0.41555555555555551</v>
      </c>
    </row>
    <row r="160" spans="2:20" s="154" customFormat="1" ht="18" customHeight="1">
      <c r="B160" s="323" t="s">
        <v>272</v>
      </c>
      <c r="C160" s="323"/>
      <c r="D160" s="323"/>
      <c r="E160" s="323"/>
      <c r="F160" s="323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</row>
    <row r="161" spans="2:20" s="154" customFormat="1" ht="18" customHeight="1">
      <c r="B161" s="153" t="s">
        <v>270</v>
      </c>
      <c r="C161" s="315" t="s">
        <v>400</v>
      </c>
      <c r="D161" s="315"/>
      <c r="E161" s="153">
        <v>100</v>
      </c>
      <c r="F161" s="153">
        <v>7.86</v>
      </c>
      <c r="G161" s="153">
        <v>5.57</v>
      </c>
      <c r="H161" s="153">
        <v>53.71</v>
      </c>
      <c r="I161" s="153">
        <v>297.14</v>
      </c>
      <c r="J161" s="153">
        <v>0.1</v>
      </c>
      <c r="K161" s="153">
        <v>0.04</v>
      </c>
      <c r="L161" s="153">
        <v>0</v>
      </c>
      <c r="M161" s="153">
        <v>0.1</v>
      </c>
      <c r="N161" s="153"/>
      <c r="O161" s="153">
        <v>16.170000000000002</v>
      </c>
      <c r="P161" s="153">
        <v>0</v>
      </c>
      <c r="Q161" s="153">
        <v>0</v>
      </c>
      <c r="R161" s="153">
        <v>0</v>
      </c>
      <c r="S161" s="153">
        <v>11.19</v>
      </c>
      <c r="T161" s="153">
        <v>0.9</v>
      </c>
    </row>
    <row r="162" spans="2:20" s="154" customFormat="1" ht="29.25" customHeight="1">
      <c r="B162" s="153">
        <v>648</v>
      </c>
      <c r="C162" s="315" t="s">
        <v>219</v>
      </c>
      <c r="D162" s="315"/>
      <c r="E162" s="153">
        <v>200</v>
      </c>
      <c r="F162" s="153">
        <v>0</v>
      </c>
      <c r="G162" s="153">
        <v>0</v>
      </c>
      <c r="H162" s="153">
        <v>20</v>
      </c>
      <c r="I162" s="153">
        <v>76</v>
      </c>
      <c r="J162" s="153">
        <v>0</v>
      </c>
      <c r="K162" s="153">
        <v>0</v>
      </c>
      <c r="L162" s="153">
        <v>0</v>
      </c>
      <c r="M162" s="153">
        <v>0</v>
      </c>
      <c r="N162" s="153"/>
      <c r="O162" s="153">
        <v>0.48</v>
      </c>
      <c r="P162" s="153">
        <v>0</v>
      </c>
      <c r="Q162" s="153">
        <v>0</v>
      </c>
      <c r="R162" s="153">
        <v>0</v>
      </c>
      <c r="S162" s="153">
        <v>0</v>
      </c>
      <c r="T162" s="153">
        <v>0.06</v>
      </c>
    </row>
    <row r="163" spans="2:20" s="154" customFormat="1" ht="18" customHeight="1">
      <c r="B163" s="312" t="s">
        <v>274</v>
      </c>
      <c r="C163" s="313"/>
      <c r="D163" s="314"/>
      <c r="E163" s="164">
        <f>E161+E162</f>
        <v>300</v>
      </c>
      <c r="F163" s="164">
        <f t="shared" ref="F163" si="32">F161+F162</f>
        <v>7.86</v>
      </c>
      <c r="G163" s="164">
        <f t="shared" ref="G163" si="33">G161+G162</f>
        <v>5.57</v>
      </c>
      <c r="H163" s="164">
        <f t="shared" ref="H163" si="34">H161+H162</f>
        <v>73.710000000000008</v>
      </c>
      <c r="I163" s="164">
        <f t="shared" ref="I163" si="35">I161+I162</f>
        <v>373.14</v>
      </c>
      <c r="J163" s="164">
        <f t="shared" ref="J163" si="36">J161+J162</f>
        <v>0.1</v>
      </c>
      <c r="K163" s="164">
        <f t="shared" ref="K163" si="37">K161+K162</f>
        <v>0.04</v>
      </c>
      <c r="L163" s="164">
        <f t="shared" ref="L163" si="38">L161+L162</f>
        <v>0</v>
      </c>
      <c r="M163" s="164">
        <f t="shared" ref="M163" si="39">M161+M162</f>
        <v>0.1</v>
      </c>
      <c r="N163" s="164">
        <f t="shared" ref="N163" si="40">N161+N162</f>
        <v>0</v>
      </c>
      <c r="O163" s="164">
        <f t="shared" ref="O163" si="41">O161+O162</f>
        <v>16.650000000000002</v>
      </c>
      <c r="P163" s="164">
        <f t="shared" ref="P163" si="42">P161+P162</f>
        <v>0</v>
      </c>
      <c r="Q163" s="164">
        <f t="shared" ref="Q163" si="43">Q161+Q162</f>
        <v>0</v>
      </c>
      <c r="R163" s="164">
        <f t="shared" ref="R163" si="44">R161+R162</f>
        <v>0</v>
      </c>
      <c r="S163" s="164">
        <f t="shared" ref="S163" si="45">S161+S162</f>
        <v>11.19</v>
      </c>
      <c r="T163" s="164">
        <f t="shared" ref="T163" si="46">T161+T162</f>
        <v>0.96</v>
      </c>
    </row>
    <row r="164" spans="2:20" s="154" customFormat="1" ht="18" customHeight="1">
      <c r="B164" s="311" t="s">
        <v>265</v>
      </c>
      <c r="C164" s="311"/>
      <c r="D164" s="311"/>
      <c r="E164" s="311"/>
      <c r="F164" s="172">
        <f>F163/F166</f>
        <v>8.7333333333333332E-2</v>
      </c>
      <c r="G164" s="172">
        <f t="shared" ref="G164:T164" si="47">G163/G166</f>
        <v>6.0543478260869567E-2</v>
      </c>
      <c r="H164" s="172">
        <f t="shared" si="47"/>
        <v>0.1924543080939948</v>
      </c>
      <c r="I164" s="172">
        <f t="shared" si="47"/>
        <v>0.13718382352941175</v>
      </c>
      <c r="J164" s="172">
        <f t="shared" si="47"/>
        <v>7.1428571428571438E-2</v>
      </c>
      <c r="K164" s="172">
        <f t="shared" si="47"/>
        <v>2.4999999999999998E-2</v>
      </c>
      <c r="L164" s="172">
        <f t="shared" si="47"/>
        <v>0</v>
      </c>
      <c r="M164" s="172">
        <f t="shared" si="47"/>
        <v>0.11111111111111112</v>
      </c>
      <c r="N164" s="172">
        <f t="shared" si="47"/>
        <v>0</v>
      </c>
      <c r="O164" s="172">
        <f t="shared" si="47"/>
        <v>1.3875000000000002E-2</v>
      </c>
      <c r="P164" s="172">
        <f t="shared" si="47"/>
        <v>0</v>
      </c>
      <c r="Q164" s="172">
        <f t="shared" si="47"/>
        <v>0</v>
      </c>
      <c r="R164" s="172">
        <f t="shared" si="47"/>
        <v>0</v>
      </c>
      <c r="S164" s="172">
        <f t="shared" si="47"/>
        <v>3.73E-2</v>
      </c>
      <c r="T164" s="172">
        <f t="shared" si="47"/>
        <v>5.333333333333333E-2</v>
      </c>
    </row>
    <row r="165" spans="2:20" s="154" customFormat="1" ht="18" customHeight="1">
      <c r="B165" s="311" t="s">
        <v>275</v>
      </c>
      <c r="C165" s="311"/>
      <c r="D165" s="311"/>
      <c r="E165" s="311"/>
      <c r="F165" s="164">
        <f>F163+F158+F148</f>
        <v>59.53</v>
      </c>
      <c r="G165" s="164">
        <f t="shared" ref="G165:T165" si="48">G163+G158+G148</f>
        <v>48.709999999999994</v>
      </c>
      <c r="H165" s="164">
        <f t="shared" si="48"/>
        <v>239.34000000000003</v>
      </c>
      <c r="I165" s="164">
        <f t="shared" si="48"/>
        <v>1633.56</v>
      </c>
      <c r="J165" s="164">
        <f t="shared" si="48"/>
        <v>0.82000000000000006</v>
      </c>
      <c r="K165" s="164">
        <f t="shared" si="48"/>
        <v>0.71300000000000008</v>
      </c>
      <c r="L165" s="164">
        <f t="shared" si="48"/>
        <v>49.51</v>
      </c>
      <c r="M165" s="164">
        <f t="shared" si="48"/>
        <v>0.36110000000000009</v>
      </c>
      <c r="N165" s="164">
        <f t="shared" si="48"/>
        <v>7.0039999999999996</v>
      </c>
      <c r="O165" s="164">
        <f t="shared" si="48"/>
        <v>381</v>
      </c>
      <c r="P165" s="164">
        <f t="shared" si="48"/>
        <v>615.76</v>
      </c>
      <c r="Q165" s="164">
        <f t="shared" si="48"/>
        <v>4.8259999999999996</v>
      </c>
      <c r="R165" s="164">
        <f t="shared" si="48"/>
        <v>0.112</v>
      </c>
      <c r="S165" s="164">
        <f t="shared" si="48"/>
        <v>217.31</v>
      </c>
      <c r="T165" s="164">
        <f t="shared" si="48"/>
        <v>15</v>
      </c>
    </row>
    <row r="166" spans="2:20" s="154" customFormat="1" ht="18" customHeight="1">
      <c r="B166" s="311" t="s">
        <v>276</v>
      </c>
      <c r="C166" s="311"/>
      <c r="D166" s="311"/>
      <c r="E166" s="311"/>
      <c r="F166" s="153">
        <v>90</v>
      </c>
      <c r="G166" s="153">
        <v>92</v>
      </c>
      <c r="H166" s="153">
        <v>383</v>
      </c>
      <c r="I166" s="153">
        <v>2720</v>
      </c>
      <c r="J166" s="153">
        <v>1.4</v>
      </c>
      <c r="K166" s="153">
        <v>1.6</v>
      </c>
      <c r="L166" s="153">
        <v>70</v>
      </c>
      <c r="M166" s="153">
        <v>0.9</v>
      </c>
      <c r="N166" s="153">
        <v>12</v>
      </c>
      <c r="O166" s="153">
        <v>1200</v>
      </c>
      <c r="P166" s="153">
        <v>1200</v>
      </c>
      <c r="Q166" s="153">
        <v>14</v>
      </c>
      <c r="R166" s="153">
        <v>0.1</v>
      </c>
      <c r="S166" s="153">
        <v>300</v>
      </c>
      <c r="T166" s="153">
        <v>18</v>
      </c>
    </row>
    <row r="167" spans="2:20" s="154" customFormat="1" ht="18" customHeight="1">
      <c r="B167" s="311" t="s">
        <v>265</v>
      </c>
      <c r="C167" s="311"/>
      <c r="D167" s="311"/>
      <c r="E167" s="311"/>
      <c r="F167" s="172">
        <f>F165/F166</f>
        <v>0.6614444444444445</v>
      </c>
      <c r="G167" s="172">
        <f t="shared" ref="G167:T167" si="49">G165/G166</f>
        <v>0.52945652173913038</v>
      </c>
      <c r="H167" s="172">
        <f t="shared" si="49"/>
        <v>0.62490861618798965</v>
      </c>
      <c r="I167" s="172">
        <f t="shared" si="49"/>
        <v>0.60057352941176467</v>
      </c>
      <c r="J167" s="172">
        <f t="shared" si="49"/>
        <v>0.58571428571428574</v>
      </c>
      <c r="K167" s="172">
        <f t="shared" si="49"/>
        <v>0.44562500000000005</v>
      </c>
      <c r="L167" s="172">
        <f t="shared" si="49"/>
        <v>0.7072857142857143</v>
      </c>
      <c r="M167" s="172">
        <f t="shared" si="49"/>
        <v>0.40122222222222231</v>
      </c>
      <c r="N167" s="172">
        <f t="shared" si="49"/>
        <v>0.58366666666666667</v>
      </c>
      <c r="O167" s="172">
        <f t="shared" si="49"/>
        <v>0.3175</v>
      </c>
      <c r="P167" s="172">
        <f t="shared" si="49"/>
        <v>0.51313333333333333</v>
      </c>
      <c r="Q167" s="172">
        <f t="shared" si="49"/>
        <v>0.3447142857142857</v>
      </c>
      <c r="R167" s="172">
        <f t="shared" si="49"/>
        <v>1.1199999999999999</v>
      </c>
      <c r="S167" s="172">
        <f t="shared" si="49"/>
        <v>0.72436666666666671</v>
      </c>
      <c r="T167" s="172">
        <f t="shared" si="49"/>
        <v>0.83333333333333337</v>
      </c>
    </row>
    <row r="168" spans="2:20" s="154" customFormat="1" ht="18" customHeight="1">
      <c r="B168" s="311" t="s">
        <v>412</v>
      </c>
      <c r="C168" s="311"/>
      <c r="D168" s="311"/>
      <c r="E168" s="311"/>
      <c r="F168" s="174">
        <f>(F14+F49+F83+F116+F148)/5</f>
        <v>25.725600000000004</v>
      </c>
      <c r="G168" s="174">
        <f t="shared" ref="G168:T168" si="50">(G14+G49+G83+G116+G148)/5</f>
        <v>21.630600000000001</v>
      </c>
      <c r="H168" s="174">
        <f t="shared" si="50"/>
        <v>80.070000000000007</v>
      </c>
      <c r="I168" s="174">
        <f t="shared" si="50"/>
        <v>615.91999999999996</v>
      </c>
      <c r="J168" s="174">
        <f t="shared" si="50"/>
        <v>0.29440000000000005</v>
      </c>
      <c r="K168" s="174">
        <f t="shared" si="50"/>
        <v>0.3644</v>
      </c>
      <c r="L168" s="174">
        <f t="shared" si="50"/>
        <v>13.665000000000001</v>
      </c>
      <c r="M168" s="174">
        <f t="shared" si="50"/>
        <v>0.14704</v>
      </c>
      <c r="N168" s="174">
        <f t="shared" si="50"/>
        <v>2.347</v>
      </c>
      <c r="O168" s="174">
        <f t="shared" si="50"/>
        <v>262.62900000000002</v>
      </c>
      <c r="P168" s="174">
        <f t="shared" si="50"/>
        <v>397.89499999999998</v>
      </c>
      <c r="Q168" s="174">
        <f t="shared" si="50"/>
        <v>1.6173999999999999</v>
      </c>
      <c r="R168" s="174">
        <f t="shared" si="50"/>
        <v>4.2840000000000003E-2</v>
      </c>
      <c r="S168" s="174">
        <f t="shared" si="50"/>
        <v>77.314599999999999</v>
      </c>
      <c r="T168" s="174">
        <f t="shared" si="50"/>
        <v>5.2106000000000012</v>
      </c>
    </row>
    <row r="169" spans="2:20" s="154" customFormat="1" ht="18" customHeight="1">
      <c r="B169" s="341" t="s">
        <v>276</v>
      </c>
      <c r="C169" s="342"/>
      <c r="D169" s="342"/>
      <c r="E169" s="343"/>
      <c r="F169" s="153">
        <v>90</v>
      </c>
      <c r="G169" s="153">
        <v>92</v>
      </c>
      <c r="H169" s="153">
        <v>383</v>
      </c>
      <c r="I169" s="153">
        <v>2720</v>
      </c>
      <c r="J169" s="153">
        <v>1.4</v>
      </c>
      <c r="K169" s="153">
        <v>1.6</v>
      </c>
      <c r="L169" s="153">
        <v>70</v>
      </c>
      <c r="M169" s="153">
        <v>0.9</v>
      </c>
      <c r="N169" s="153">
        <v>12</v>
      </c>
      <c r="O169" s="153">
        <v>1200</v>
      </c>
      <c r="P169" s="153">
        <v>1200</v>
      </c>
      <c r="Q169" s="153">
        <v>14</v>
      </c>
      <c r="R169" s="153">
        <v>0.1</v>
      </c>
      <c r="S169" s="153">
        <v>300</v>
      </c>
      <c r="T169" s="153">
        <v>18</v>
      </c>
    </row>
    <row r="170" spans="2:20" s="154" customFormat="1" ht="18" customHeight="1">
      <c r="B170" s="311" t="s">
        <v>265</v>
      </c>
      <c r="C170" s="311"/>
      <c r="D170" s="311"/>
      <c r="E170" s="311"/>
      <c r="F170" s="172">
        <f t="shared" ref="F170:T170" si="51">F168/F169</f>
        <v>0.28584000000000004</v>
      </c>
      <c r="G170" s="172">
        <f t="shared" si="51"/>
        <v>0.23511521739130437</v>
      </c>
      <c r="H170" s="172">
        <f t="shared" si="51"/>
        <v>0.20906005221932117</v>
      </c>
      <c r="I170" s="172">
        <f t="shared" si="51"/>
        <v>0.22644117647058823</v>
      </c>
      <c r="J170" s="172">
        <f t="shared" si="51"/>
        <v>0.21028571428571433</v>
      </c>
      <c r="K170" s="172">
        <f t="shared" si="51"/>
        <v>0.22774999999999998</v>
      </c>
      <c r="L170" s="172">
        <f t="shared" si="51"/>
        <v>0.19521428571428573</v>
      </c>
      <c r="M170" s="172">
        <f t="shared" si="51"/>
        <v>0.16337777777777779</v>
      </c>
      <c r="N170" s="172">
        <f t="shared" si="51"/>
        <v>0.19558333333333333</v>
      </c>
      <c r="O170" s="172">
        <f t="shared" si="51"/>
        <v>0.21885750000000001</v>
      </c>
      <c r="P170" s="172">
        <f t="shared" si="51"/>
        <v>0.33157916666666665</v>
      </c>
      <c r="Q170" s="172">
        <f t="shared" si="51"/>
        <v>0.11552857142857142</v>
      </c>
      <c r="R170" s="172">
        <f t="shared" si="51"/>
        <v>0.4284</v>
      </c>
      <c r="S170" s="172">
        <f t="shared" si="51"/>
        <v>0.25771533333333335</v>
      </c>
      <c r="T170" s="172">
        <f t="shared" si="51"/>
        <v>0.28947777777777783</v>
      </c>
    </row>
    <row r="171" spans="2:20" s="154" customFormat="1" ht="18" customHeight="1">
      <c r="B171" s="311" t="s">
        <v>411</v>
      </c>
      <c r="C171" s="311"/>
      <c r="D171" s="311"/>
      <c r="E171" s="311"/>
      <c r="F171" s="174">
        <f t="shared" ref="F171:T171" si="52">(F25+F59+F93+F126+F158)/5</f>
        <v>28.266000000000002</v>
      </c>
      <c r="G171" s="174">
        <f t="shared" si="52"/>
        <v>30.255799999999994</v>
      </c>
      <c r="H171" s="174">
        <f t="shared" si="52"/>
        <v>111.054</v>
      </c>
      <c r="I171" s="174">
        <f t="shared" si="52"/>
        <v>830.68939999999998</v>
      </c>
      <c r="J171" s="174">
        <f t="shared" si="52"/>
        <v>0.63560000000000005</v>
      </c>
      <c r="K171" s="174">
        <f t="shared" si="52"/>
        <v>0.4880000000000001</v>
      </c>
      <c r="L171" s="174">
        <f t="shared" si="52"/>
        <v>41.940599999999996</v>
      </c>
      <c r="M171" s="174">
        <f t="shared" si="52"/>
        <v>0.57979999999999998</v>
      </c>
      <c r="N171" s="174">
        <f t="shared" si="52"/>
        <v>5.7477999999999998</v>
      </c>
      <c r="O171" s="174">
        <f t="shared" si="52"/>
        <v>177.77199999999999</v>
      </c>
      <c r="P171" s="174">
        <f t="shared" si="52"/>
        <v>360.74799999999999</v>
      </c>
      <c r="Q171" s="174">
        <f t="shared" si="52"/>
        <v>2.8210000000000002</v>
      </c>
      <c r="R171" s="174">
        <f t="shared" si="52"/>
        <v>3.1576000000000007E-2</v>
      </c>
      <c r="S171" s="174">
        <f t="shared" si="52"/>
        <v>122.902</v>
      </c>
      <c r="T171" s="174">
        <f t="shared" si="52"/>
        <v>7.1819999999999995</v>
      </c>
    </row>
    <row r="172" spans="2:20" s="154" customFormat="1" ht="18" customHeight="1">
      <c r="B172" s="311" t="s">
        <v>276</v>
      </c>
      <c r="C172" s="311"/>
      <c r="D172" s="311"/>
      <c r="E172" s="311"/>
      <c r="F172" s="153">
        <v>90</v>
      </c>
      <c r="G172" s="153">
        <v>92</v>
      </c>
      <c r="H172" s="153">
        <v>383</v>
      </c>
      <c r="I172" s="153">
        <v>2720</v>
      </c>
      <c r="J172" s="153">
        <v>1.4</v>
      </c>
      <c r="K172" s="153">
        <v>1.6</v>
      </c>
      <c r="L172" s="153">
        <v>70</v>
      </c>
      <c r="M172" s="153">
        <v>0.9</v>
      </c>
      <c r="N172" s="153">
        <v>12</v>
      </c>
      <c r="O172" s="153">
        <v>1200</v>
      </c>
      <c r="P172" s="153">
        <v>1200</v>
      </c>
      <c r="Q172" s="153">
        <v>14</v>
      </c>
      <c r="R172" s="153">
        <v>0.1</v>
      </c>
      <c r="S172" s="153">
        <v>300</v>
      </c>
      <c r="T172" s="153">
        <v>18</v>
      </c>
    </row>
    <row r="173" spans="2:20" s="154" customFormat="1" ht="18" customHeight="1">
      <c r="B173" s="311" t="s">
        <v>265</v>
      </c>
      <c r="C173" s="311"/>
      <c r="D173" s="311"/>
      <c r="E173" s="311"/>
      <c r="F173" s="172">
        <f>F171/F172</f>
        <v>0.31406666666666666</v>
      </c>
      <c r="G173" s="172">
        <f t="shared" ref="G173" si="53">G171/G172</f>
        <v>0.32886739130434778</v>
      </c>
      <c r="H173" s="172">
        <f t="shared" ref="H173" si="54">H171/H172</f>
        <v>0.28995822454308096</v>
      </c>
      <c r="I173" s="172">
        <f t="shared" ref="I173" si="55">I171/I172</f>
        <v>0.30540051470588236</v>
      </c>
      <c r="J173" s="172">
        <f t="shared" ref="J173" si="56">J171/J172</f>
        <v>0.45400000000000007</v>
      </c>
      <c r="K173" s="172">
        <f t="shared" ref="K173" si="57">K171/K172</f>
        <v>0.30500000000000005</v>
      </c>
      <c r="L173" s="172">
        <f t="shared" ref="L173" si="58">L171/L172</f>
        <v>0.59915142857142856</v>
      </c>
      <c r="M173" s="172">
        <f t="shared" ref="M173" si="59">M171/M172</f>
        <v>0.64422222222222214</v>
      </c>
      <c r="N173" s="172">
        <f t="shared" ref="N173" si="60">N171/N172</f>
        <v>0.47898333333333332</v>
      </c>
      <c r="O173" s="172">
        <f t="shared" ref="O173" si="61">O171/O172</f>
        <v>0.14814333333333332</v>
      </c>
      <c r="P173" s="172">
        <f t="shared" ref="P173" si="62">P171/P172</f>
        <v>0.3006233333333333</v>
      </c>
      <c r="Q173" s="172">
        <f t="shared" ref="Q173" si="63">Q171/Q172</f>
        <v>0.20150000000000001</v>
      </c>
      <c r="R173" s="172">
        <f t="shared" ref="R173" si="64">R171/R172</f>
        <v>0.31576000000000004</v>
      </c>
      <c r="S173" s="172">
        <f t="shared" ref="S173" si="65">S171/S172</f>
        <v>0.40967333333333333</v>
      </c>
      <c r="T173" s="172">
        <f t="shared" ref="T173" si="66">T171/T172</f>
        <v>0.39899999999999997</v>
      </c>
    </row>
    <row r="174" spans="2:20" s="154" customFormat="1" ht="18" customHeight="1">
      <c r="B174" s="311" t="s">
        <v>413</v>
      </c>
      <c r="C174" s="311"/>
      <c r="D174" s="311"/>
      <c r="E174" s="311"/>
      <c r="F174" s="174">
        <f t="shared" ref="F174:T174" si="67">(F30+F64+F98+F131+F163)/5</f>
        <v>9.2379999999999995</v>
      </c>
      <c r="G174" s="174">
        <f t="shared" si="67"/>
        <v>7.330000000000001</v>
      </c>
      <c r="H174" s="174">
        <f t="shared" si="67"/>
        <v>63.372</v>
      </c>
      <c r="I174" s="174">
        <f t="shared" si="67"/>
        <v>356.19799999999998</v>
      </c>
      <c r="J174" s="174">
        <f t="shared" si="67"/>
        <v>0.1</v>
      </c>
      <c r="K174" s="174">
        <f t="shared" si="67"/>
        <v>0.14400000000000002</v>
      </c>
      <c r="L174" s="174">
        <f t="shared" si="67"/>
        <v>1.58</v>
      </c>
      <c r="M174" s="174">
        <f t="shared" si="67"/>
        <v>0.1</v>
      </c>
      <c r="N174" s="174">
        <f t="shared" si="67"/>
        <v>1.2199999999999999E-2</v>
      </c>
      <c r="O174" s="174">
        <f t="shared" si="67"/>
        <v>88.224000000000004</v>
      </c>
      <c r="P174" s="174">
        <f t="shared" si="67"/>
        <v>83.073999999999998</v>
      </c>
      <c r="Q174" s="174">
        <f t="shared" si="67"/>
        <v>8.4000000000000005E-2</v>
      </c>
      <c r="R174" s="174">
        <f t="shared" si="67"/>
        <v>2.0000000000000001E-4</v>
      </c>
      <c r="S174" s="174">
        <f t="shared" si="67"/>
        <v>21.898</v>
      </c>
      <c r="T174" s="174">
        <f t="shared" si="67"/>
        <v>1.4259999999999999</v>
      </c>
    </row>
    <row r="175" spans="2:20" s="154" customFormat="1" ht="18" customHeight="1">
      <c r="B175" s="311" t="s">
        <v>276</v>
      </c>
      <c r="C175" s="311"/>
      <c r="D175" s="311"/>
      <c r="E175" s="311"/>
      <c r="F175" s="153">
        <v>90</v>
      </c>
      <c r="G175" s="153">
        <v>92</v>
      </c>
      <c r="H175" s="153">
        <v>383</v>
      </c>
      <c r="I175" s="153">
        <v>2720</v>
      </c>
      <c r="J175" s="153">
        <v>1.4</v>
      </c>
      <c r="K175" s="153">
        <v>1.6</v>
      </c>
      <c r="L175" s="153">
        <v>70</v>
      </c>
      <c r="M175" s="153">
        <v>0.9</v>
      </c>
      <c r="N175" s="153">
        <v>12</v>
      </c>
      <c r="O175" s="153">
        <v>1200</v>
      </c>
      <c r="P175" s="153">
        <v>1200</v>
      </c>
      <c r="Q175" s="153">
        <v>14</v>
      </c>
      <c r="R175" s="153">
        <v>0.1</v>
      </c>
      <c r="S175" s="153">
        <v>300</v>
      </c>
      <c r="T175" s="153">
        <v>18</v>
      </c>
    </row>
    <row r="176" spans="2:20" s="154" customFormat="1" ht="18" customHeight="1">
      <c r="B176" s="311" t="s">
        <v>265</v>
      </c>
      <c r="C176" s="311"/>
      <c r="D176" s="311"/>
      <c r="E176" s="311"/>
      <c r="F176" s="172">
        <f>F174/F175</f>
        <v>0.10264444444444444</v>
      </c>
      <c r="G176" s="172">
        <f t="shared" ref="G176" si="68">G174/G175</f>
        <v>7.9673913043478276E-2</v>
      </c>
      <c r="H176" s="172">
        <f t="shared" ref="H176" si="69">H174/H175</f>
        <v>0.16546214099216711</v>
      </c>
      <c r="I176" s="172">
        <f t="shared" ref="I176" si="70">I174/I175</f>
        <v>0.13095514705882352</v>
      </c>
      <c r="J176" s="172">
        <f t="shared" ref="J176" si="71">J174/J175</f>
        <v>7.1428571428571438E-2</v>
      </c>
      <c r="K176" s="172">
        <f t="shared" ref="K176" si="72">K174/K175</f>
        <v>9.0000000000000011E-2</v>
      </c>
      <c r="L176" s="172">
        <f t="shared" ref="L176" si="73">L174/L175</f>
        <v>2.2571428571428572E-2</v>
      </c>
      <c r="M176" s="172">
        <f t="shared" ref="M176" si="74">M174/M175</f>
        <v>0.11111111111111112</v>
      </c>
      <c r="N176" s="172">
        <f t="shared" ref="N176" si="75">N174/N175</f>
        <v>1.0166666666666666E-3</v>
      </c>
      <c r="O176" s="172">
        <f t="shared" ref="O176" si="76">O174/O175</f>
        <v>7.3520000000000002E-2</v>
      </c>
      <c r="P176" s="172">
        <f t="shared" ref="P176" si="77">P174/P175</f>
        <v>6.9228333333333336E-2</v>
      </c>
      <c r="Q176" s="172">
        <f t="shared" ref="Q176" si="78">Q174/Q175</f>
        <v>6.0000000000000001E-3</v>
      </c>
      <c r="R176" s="172">
        <f t="shared" ref="R176" si="79">R174/R175</f>
        <v>2E-3</v>
      </c>
      <c r="S176" s="172">
        <f t="shared" ref="S176" si="80">S174/S175</f>
        <v>7.2993333333333327E-2</v>
      </c>
      <c r="T176" s="172">
        <f t="shared" ref="T176" si="81">T174/T175</f>
        <v>7.9222222222222222E-2</v>
      </c>
    </row>
    <row r="177" spans="2:20" s="154" customFormat="1" ht="18" customHeight="1">
      <c r="B177" s="311" t="s">
        <v>415</v>
      </c>
      <c r="C177" s="311"/>
      <c r="D177" s="311"/>
      <c r="E177" s="311"/>
      <c r="F177" s="174">
        <f t="shared" ref="F177:T177" si="82">F168+F171+F174</f>
        <v>63.229600000000005</v>
      </c>
      <c r="G177" s="174">
        <f t="shared" si="82"/>
        <v>59.216399999999993</v>
      </c>
      <c r="H177" s="174">
        <f t="shared" si="82"/>
        <v>254.49600000000004</v>
      </c>
      <c r="I177" s="174">
        <f t="shared" si="82"/>
        <v>1802.8073999999997</v>
      </c>
      <c r="J177" s="174">
        <f t="shared" si="82"/>
        <v>1.0300000000000002</v>
      </c>
      <c r="K177" s="174">
        <f t="shared" si="82"/>
        <v>0.99640000000000006</v>
      </c>
      <c r="L177" s="174">
        <f t="shared" si="82"/>
        <v>57.185599999999994</v>
      </c>
      <c r="M177" s="174">
        <f t="shared" si="82"/>
        <v>0.82683999999999991</v>
      </c>
      <c r="N177" s="174">
        <f t="shared" si="82"/>
        <v>8.1069999999999993</v>
      </c>
      <c r="O177" s="174">
        <f t="shared" si="82"/>
        <v>528.625</v>
      </c>
      <c r="P177" s="174">
        <f t="shared" si="82"/>
        <v>841.71699999999998</v>
      </c>
      <c r="Q177" s="174">
        <f t="shared" si="82"/>
        <v>4.5223999999999993</v>
      </c>
      <c r="R177" s="174">
        <f t="shared" si="82"/>
        <v>7.4616000000000016E-2</v>
      </c>
      <c r="S177" s="174">
        <f t="shared" si="82"/>
        <v>222.1146</v>
      </c>
      <c r="T177" s="174">
        <f t="shared" si="82"/>
        <v>13.818600000000002</v>
      </c>
    </row>
    <row r="178" spans="2:20" s="154" customFormat="1" ht="18" customHeight="1">
      <c r="B178" s="311" t="s">
        <v>276</v>
      </c>
      <c r="C178" s="311"/>
      <c r="D178" s="311"/>
      <c r="E178" s="311"/>
      <c r="F178" s="153">
        <v>90</v>
      </c>
      <c r="G178" s="153">
        <v>92</v>
      </c>
      <c r="H178" s="153">
        <v>383</v>
      </c>
      <c r="I178" s="153">
        <v>2720</v>
      </c>
      <c r="J178" s="153">
        <v>1.4</v>
      </c>
      <c r="K178" s="153">
        <v>1.6</v>
      </c>
      <c r="L178" s="153">
        <v>70</v>
      </c>
      <c r="M178" s="153">
        <v>0.9</v>
      </c>
      <c r="N178" s="153">
        <v>12</v>
      </c>
      <c r="O178" s="153">
        <v>1200</v>
      </c>
      <c r="P178" s="153">
        <v>1200</v>
      </c>
      <c r="Q178" s="153">
        <v>14</v>
      </c>
      <c r="R178" s="153">
        <v>0.1</v>
      </c>
      <c r="S178" s="153">
        <v>300</v>
      </c>
      <c r="T178" s="153">
        <v>18</v>
      </c>
    </row>
    <row r="179" spans="2:20" s="154" customFormat="1" ht="18" customHeight="1">
      <c r="B179" s="311" t="s">
        <v>265</v>
      </c>
      <c r="C179" s="311"/>
      <c r="D179" s="311"/>
      <c r="E179" s="311"/>
      <c r="F179" s="172">
        <f>F177/F178</f>
        <v>0.70255111111111113</v>
      </c>
      <c r="G179" s="172">
        <f t="shared" ref="G179" si="83">G177/G178</f>
        <v>0.64365652173913035</v>
      </c>
      <c r="H179" s="172">
        <f t="shared" ref="H179" si="84">H177/H178</f>
        <v>0.66448041775456934</v>
      </c>
      <c r="I179" s="172">
        <f t="shared" ref="I179" si="85">I177/I178</f>
        <v>0.66279683823529401</v>
      </c>
      <c r="J179" s="172">
        <f t="shared" ref="J179" si="86">J177/J178</f>
        <v>0.73571428571428599</v>
      </c>
      <c r="K179" s="172">
        <f t="shared" ref="K179" si="87">K177/K178</f>
        <v>0.62275000000000003</v>
      </c>
      <c r="L179" s="172">
        <f t="shared" ref="L179" si="88">L177/L178</f>
        <v>0.81693714285714281</v>
      </c>
      <c r="M179" s="172">
        <f t="shared" ref="M179" si="89">M177/M178</f>
        <v>0.91871111111111103</v>
      </c>
      <c r="N179" s="172">
        <f t="shared" ref="N179" si="90">N177/N178</f>
        <v>0.67558333333333331</v>
      </c>
      <c r="O179" s="172">
        <f t="shared" ref="O179" si="91">O177/O178</f>
        <v>0.44052083333333331</v>
      </c>
      <c r="P179" s="172">
        <f t="shared" ref="P179" si="92">P177/P178</f>
        <v>0.70143083333333334</v>
      </c>
      <c r="Q179" s="172">
        <f t="shared" ref="Q179" si="93">Q177/Q178</f>
        <v>0.32302857142857139</v>
      </c>
      <c r="R179" s="172">
        <f t="shared" ref="R179" si="94">R177/R178</f>
        <v>0.74616000000000016</v>
      </c>
      <c r="S179" s="172">
        <f t="shared" ref="S179" si="95">S177/S178</f>
        <v>0.74038199999999998</v>
      </c>
      <c r="T179" s="172">
        <f t="shared" ref="T179" si="96">T177/T178</f>
        <v>0.76770000000000005</v>
      </c>
    </row>
    <row r="180" spans="2:20" s="154" customFormat="1" ht="18" customHeight="1">
      <c r="B180" s="165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324" t="s">
        <v>229</v>
      </c>
      <c r="N180" s="324"/>
      <c r="O180" s="324"/>
      <c r="P180" s="324"/>
      <c r="Q180" s="324"/>
      <c r="R180" s="324"/>
      <c r="S180" s="324"/>
      <c r="T180" s="324"/>
    </row>
    <row r="181" spans="2:20" s="154" customFormat="1" ht="18" customHeight="1">
      <c r="B181" s="323" t="s">
        <v>304</v>
      </c>
      <c r="C181" s="323"/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3"/>
      <c r="S181" s="323"/>
      <c r="T181" s="323"/>
    </row>
    <row r="182" spans="2:20" s="154" customFormat="1" ht="18" customHeight="1">
      <c r="B182" s="311" t="s">
        <v>231</v>
      </c>
      <c r="C182" s="311"/>
      <c r="D182" s="153"/>
      <c r="E182" s="153"/>
      <c r="F182" s="153"/>
      <c r="G182" s="324" t="s">
        <v>232</v>
      </c>
      <c r="H182" s="324"/>
      <c r="I182" s="324"/>
      <c r="J182" s="153"/>
      <c r="K182" s="153"/>
      <c r="L182" s="311" t="s">
        <v>233</v>
      </c>
      <c r="M182" s="311"/>
      <c r="N182" s="324" t="s">
        <v>234</v>
      </c>
      <c r="O182" s="324"/>
      <c r="P182" s="324"/>
      <c r="Q182" s="324"/>
      <c r="R182" s="153"/>
      <c r="S182" s="153"/>
      <c r="T182" s="153"/>
    </row>
    <row r="183" spans="2:20" s="154" customFormat="1" ht="18" customHeight="1">
      <c r="B183" s="153"/>
      <c r="C183" s="153"/>
      <c r="D183" s="153"/>
      <c r="E183" s="323" t="s">
        <v>235</v>
      </c>
      <c r="F183" s="323"/>
      <c r="G183" s="153">
        <v>2</v>
      </c>
      <c r="H183" s="153"/>
      <c r="I183" s="153"/>
      <c r="J183" s="153"/>
      <c r="K183" s="153"/>
      <c r="L183" s="311" t="s">
        <v>236</v>
      </c>
      <c r="M183" s="311"/>
      <c r="N183" s="324" t="s">
        <v>320</v>
      </c>
      <c r="O183" s="324"/>
      <c r="P183" s="324"/>
      <c r="Q183" s="324"/>
      <c r="R183" s="324"/>
      <c r="S183" s="324"/>
      <c r="T183" s="324"/>
    </row>
    <row r="184" spans="2:20" s="154" customFormat="1" ht="18" customHeight="1">
      <c r="B184" s="166" t="s">
        <v>279</v>
      </c>
      <c r="C184" s="340" t="s">
        <v>239</v>
      </c>
      <c r="D184" s="340"/>
      <c r="E184" s="340" t="s">
        <v>240</v>
      </c>
      <c r="F184" s="340" t="s">
        <v>241</v>
      </c>
      <c r="G184" s="340"/>
      <c r="H184" s="340"/>
      <c r="I184" s="166" t="s">
        <v>242</v>
      </c>
      <c r="J184" s="340" t="s">
        <v>244</v>
      </c>
      <c r="K184" s="340"/>
      <c r="L184" s="340"/>
      <c r="M184" s="340"/>
      <c r="N184" s="340"/>
      <c r="O184" s="340" t="s">
        <v>245</v>
      </c>
      <c r="P184" s="340"/>
      <c r="Q184" s="340"/>
      <c r="R184" s="340"/>
      <c r="S184" s="340"/>
      <c r="T184" s="340"/>
    </row>
    <row r="185" spans="2:20" s="154" customFormat="1" ht="18" customHeight="1">
      <c r="B185" s="166" t="s">
        <v>280</v>
      </c>
      <c r="C185" s="340"/>
      <c r="D185" s="340"/>
      <c r="E185" s="340"/>
      <c r="F185" s="166" t="s">
        <v>246</v>
      </c>
      <c r="G185" s="166" t="s">
        <v>247</v>
      </c>
      <c r="H185" s="166" t="s">
        <v>248</v>
      </c>
      <c r="I185" s="166" t="s">
        <v>243</v>
      </c>
      <c r="J185" s="166" t="s">
        <v>249</v>
      </c>
      <c r="K185" s="166" t="s">
        <v>250</v>
      </c>
      <c r="L185" s="166" t="s">
        <v>251</v>
      </c>
      <c r="M185" s="166" t="s">
        <v>252</v>
      </c>
      <c r="N185" s="166" t="s">
        <v>253</v>
      </c>
      <c r="O185" s="166" t="s">
        <v>254</v>
      </c>
      <c r="P185" s="166" t="s">
        <v>255</v>
      </c>
      <c r="Q185" s="166" t="s">
        <v>256</v>
      </c>
      <c r="R185" s="166" t="s">
        <v>257</v>
      </c>
      <c r="S185" s="166" t="s">
        <v>258</v>
      </c>
      <c r="T185" s="166" t="s">
        <v>259</v>
      </c>
    </row>
    <row r="186" spans="2:20" s="154" customFormat="1" ht="18" customHeight="1">
      <c r="B186" s="167">
        <v>1</v>
      </c>
      <c r="C186" s="325">
        <v>2</v>
      </c>
      <c r="D186" s="325"/>
      <c r="E186" s="167">
        <v>3</v>
      </c>
      <c r="F186" s="167">
        <v>4</v>
      </c>
      <c r="G186" s="167">
        <v>5</v>
      </c>
      <c r="H186" s="167">
        <v>6</v>
      </c>
      <c r="I186" s="167">
        <v>7</v>
      </c>
      <c r="J186" s="167">
        <v>8</v>
      </c>
      <c r="K186" s="167">
        <v>9</v>
      </c>
      <c r="L186" s="167">
        <v>10</v>
      </c>
      <c r="M186" s="167">
        <v>11</v>
      </c>
      <c r="N186" s="167">
        <v>12</v>
      </c>
      <c r="O186" s="167">
        <v>13</v>
      </c>
      <c r="P186" s="167">
        <v>14</v>
      </c>
      <c r="Q186" s="167">
        <v>15</v>
      </c>
      <c r="R186" s="167">
        <v>16</v>
      </c>
      <c r="S186" s="167">
        <v>17</v>
      </c>
      <c r="T186" s="167">
        <v>18</v>
      </c>
    </row>
    <row r="187" spans="2:20" s="154" customFormat="1" ht="18" customHeight="1">
      <c r="B187" s="323" t="s">
        <v>260</v>
      </c>
      <c r="C187" s="323"/>
      <c r="D187" s="323"/>
      <c r="E187" s="323"/>
      <c r="F187" s="323"/>
      <c r="G187" s="323"/>
      <c r="H187" s="323"/>
      <c r="I187" s="323"/>
      <c r="J187" s="323"/>
      <c r="K187" s="323"/>
      <c r="L187" s="323"/>
      <c r="M187" s="323"/>
      <c r="N187" s="323"/>
      <c r="O187" s="323"/>
      <c r="P187" s="323"/>
      <c r="Q187" s="323"/>
      <c r="R187" s="323"/>
      <c r="S187" s="323"/>
      <c r="T187" s="323"/>
    </row>
    <row r="188" spans="2:20" s="154" customFormat="1" ht="18" customHeight="1">
      <c r="B188" s="153">
        <v>338</v>
      </c>
      <c r="C188" s="315" t="s">
        <v>416</v>
      </c>
      <c r="D188" s="315"/>
      <c r="E188" s="153">
        <v>100</v>
      </c>
      <c r="F188" s="153">
        <v>0.4</v>
      </c>
      <c r="G188" s="153">
        <v>0.4</v>
      </c>
      <c r="H188" s="153">
        <v>9.8000000000000007</v>
      </c>
      <c r="I188" s="153">
        <v>44.4</v>
      </c>
      <c r="J188" s="153">
        <v>0.04</v>
      </c>
      <c r="K188" s="153">
        <v>0.02</v>
      </c>
      <c r="L188" s="153">
        <v>10</v>
      </c>
      <c r="M188" s="153">
        <v>0</v>
      </c>
      <c r="N188" s="153">
        <v>0.2</v>
      </c>
      <c r="O188" s="153">
        <v>16</v>
      </c>
      <c r="P188" s="153">
        <v>11</v>
      </c>
      <c r="Q188" s="153">
        <v>0</v>
      </c>
      <c r="R188" s="153">
        <v>0</v>
      </c>
      <c r="S188" s="153">
        <v>9</v>
      </c>
      <c r="T188" s="153">
        <v>2.2000000000000002</v>
      </c>
    </row>
    <row r="189" spans="2:20" s="154" customFormat="1" ht="25.5" customHeight="1">
      <c r="B189" s="153">
        <v>15</v>
      </c>
      <c r="C189" s="315" t="s">
        <v>262</v>
      </c>
      <c r="D189" s="315"/>
      <c r="E189" s="153">
        <v>20</v>
      </c>
      <c r="F189" s="153">
        <v>4.6399999999999997</v>
      </c>
      <c r="G189" s="153">
        <v>6.8</v>
      </c>
      <c r="H189" s="153">
        <v>0.02</v>
      </c>
      <c r="I189" s="153">
        <v>79.8</v>
      </c>
      <c r="J189" s="153">
        <v>0.01</v>
      </c>
      <c r="K189" s="153">
        <v>0.06</v>
      </c>
      <c r="L189" s="153">
        <v>0.14000000000000001</v>
      </c>
      <c r="M189" s="153">
        <v>4.5999999999999999E-2</v>
      </c>
      <c r="N189" s="153">
        <v>0.1</v>
      </c>
      <c r="O189" s="153">
        <v>176</v>
      </c>
      <c r="P189" s="153">
        <v>100</v>
      </c>
      <c r="Q189" s="153">
        <v>0.8</v>
      </c>
      <c r="R189" s="153">
        <v>0.04</v>
      </c>
      <c r="S189" s="153">
        <v>7</v>
      </c>
      <c r="T189" s="153">
        <v>0.26</v>
      </c>
    </row>
    <row r="190" spans="2:20" s="154" customFormat="1" ht="18" customHeight="1">
      <c r="B190" s="153">
        <v>173</v>
      </c>
      <c r="C190" s="315" t="s">
        <v>308</v>
      </c>
      <c r="D190" s="315"/>
      <c r="E190" s="153">
        <v>200</v>
      </c>
      <c r="F190" s="153">
        <v>7.3</v>
      </c>
      <c r="G190" s="153">
        <v>12.5</v>
      </c>
      <c r="H190" s="153">
        <v>54.3</v>
      </c>
      <c r="I190" s="153">
        <v>358.9</v>
      </c>
      <c r="J190" s="153">
        <v>0.1</v>
      </c>
      <c r="K190" s="153">
        <v>0.2</v>
      </c>
      <c r="L190" s="153">
        <v>3.4</v>
      </c>
      <c r="M190" s="153">
        <v>3.6999999999999998E-2</v>
      </c>
      <c r="N190" s="153">
        <v>1.3</v>
      </c>
      <c r="O190" s="153">
        <v>147.6</v>
      </c>
      <c r="P190" s="153">
        <v>198.6</v>
      </c>
      <c r="Q190" s="153">
        <v>0</v>
      </c>
      <c r="R190" s="153">
        <v>0</v>
      </c>
      <c r="S190" s="153">
        <v>57.8</v>
      </c>
      <c r="T190" s="153">
        <v>1.3</v>
      </c>
    </row>
    <row r="191" spans="2:20" s="154" customFormat="1" ht="18" customHeight="1">
      <c r="B191" s="153">
        <v>379</v>
      </c>
      <c r="C191" s="315" t="s">
        <v>284</v>
      </c>
      <c r="D191" s="315"/>
      <c r="E191" s="153">
        <v>200</v>
      </c>
      <c r="F191" s="153">
        <v>2.8</v>
      </c>
      <c r="G191" s="153">
        <v>3.2</v>
      </c>
      <c r="H191" s="153">
        <v>24.66</v>
      </c>
      <c r="I191" s="153">
        <v>138.63999999999999</v>
      </c>
      <c r="J191" s="153">
        <v>0.04</v>
      </c>
      <c r="K191" s="153">
        <v>0.15</v>
      </c>
      <c r="L191" s="153">
        <v>1.3</v>
      </c>
      <c r="M191" s="153">
        <v>0.03</v>
      </c>
      <c r="N191" s="153">
        <v>0.06</v>
      </c>
      <c r="O191" s="153">
        <v>120.4</v>
      </c>
      <c r="P191" s="153">
        <v>90</v>
      </c>
      <c r="Q191" s="153">
        <v>1.1000000000000001</v>
      </c>
      <c r="R191" s="153">
        <v>0.01</v>
      </c>
      <c r="S191" s="153">
        <v>14</v>
      </c>
      <c r="T191" s="153">
        <v>0.12</v>
      </c>
    </row>
    <row r="192" spans="2:20" s="154" customFormat="1" ht="18" customHeight="1">
      <c r="B192" s="153" t="s">
        <v>270</v>
      </c>
      <c r="C192" s="315" t="s">
        <v>329</v>
      </c>
      <c r="D192" s="315"/>
      <c r="E192" s="153">
        <v>40</v>
      </c>
      <c r="F192" s="153">
        <v>2.67</v>
      </c>
      <c r="G192" s="153">
        <v>0.53</v>
      </c>
      <c r="H192" s="153">
        <v>13.73</v>
      </c>
      <c r="I192" s="153">
        <v>70.400000000000006</v>
      </c>
      <c r="J192" s="153">
        <v>0.13</v>
      </c>
      <c r="K192" s="153">
        <v>1.2999999999999999E-2</v>
      </c>
      <c r="L192" s="153">
        <v>0.1</v>
      </c>
      <c r="M192" s="153">
        <v>0</v>
      </c>
      <c r="N192" s="153">
        <v>0.93</v>
      </c>
      <c r="O192" s="153">
        <v>14</v>
      </c>
      <c r="P192" s="153">
        <v>63.2</v>
      </c>
      <c r="Q192" s="153">
        <v>1.2999999999999999E-2</v>
      </c>
      <c r="R192" s="153">
        <v>1.2999999999999999E-2</v>
      </c>
      <c r="S192" s="153">
        <v>18.8</v>
      </c>
      <c r="T192" s="153">
        <v>1.6</v>
      </c>
    </row>
    <row r="193" spans="2:20" s="154" customFormat="1" ht="18" customHeight="1">
      <c r="B193" s="311" t="s">
        <v>264</v>
      </c>
      <c r="C193" s="311"/>
      <c r="D193" s="311"/>
      <c r="E193" s="164">
        <f>SUM(E188:E192)</f>
        <v>560</v>
      </c>
      <c r="F193" s="164">
        <f t="shared" ref="F193:T193" si="97">SUM(F188:F192)</f>
        <v>17.810000000000002</v>
      </c>
      <c r="G193" s="164">
        <f t="shared" si="97"/>
        <v>23.43</v>
      </c>
      <c r="H193" s="164">
        <f t="shared" si="97"/>
        <v>102.51</v>
      </c>
      <c r="I193" s="164">
        <f t="shared" si="97"/>
        <v>692.14</v>
      </c>
      <c r="J193" s="164">
        <f t="shared" si="97"/>
        <v>0.32000000000000006</v>
      </c>
      <c r="K193" s="164">
        <f t="shared" si="97"/>
        <v>0.44300000000000006</v>
      </c>
      <c r="L193" s="164">
        <f t="shared" si="97"/>
        <v>14.940000000000001</v>
      </c>
      <c r="M193" s="164">
        <f t="shared" si="97"/>
        <v>0.11299999999999999</v>
      </c>
      <c r="N193" s="164">
        <f t="shared" si="97"/>
        <v>2.5900000000000003</v>
      </c>
      <c r="O193" s="164">
        <f t="shared" si="97"/>
        <v>474</v>
      </c>
      <c r="P193" s="164">
        <f t="shared" si="97"/>
        <v>462.8</v>
      </c>
      <c r="Q193" s="164">
        <f t="shared" si="97"/>
        <v>1.913</v>
      </c>
      <c r="R193" s="164">
        <f t="shared" si="97"/>
        <v>6.3E-2</v>
      </c>
      <c r="S193" s="164">
        <f t="shared" si="97"/>
        <v>106.6</v>
      </c>
      <c r="T193" s="164">
        <f t="shared" si="97"/>
        <v>5.48</v>
      </c>
    </row>
    <row r="194" spans="2:20" s="154" customFormat="1" ht="18" customHeight="1">
      <c r="B194" s="311" t="s">
        <v>265</v>
      </c>
      <c r="C194" s="311"/>
      <c r="D194" s="311"/>
      <c r="E194" s="311"/>
      <c r="F194" s="172">
        <f t="shared" ref="F194:T194" si="98">F193/F212</f>
        <v>0.19788888888888892</v>
      </c>
      <c r="G194" s="172">
        <f t="shared" si="98"/>
        <v>0.25467391304347825</v>
      </c>
      <c r="H194" s="172">
        <f t="shared" si="98"/>
        <v>0.26765013054830289</v>
      </c>
      <c r="I194" s="172">
        <f t="shared" si="98"/>
        <v>0.25446323529411763</v>
      </c>
      <c r="J194" s="172">
        <f t="shared" si="98"/>
        <v>0.22857142857142862</v>
      </c>
      <c r="K194" s="172">
        <f t="shared" si="98"/>
        <v>0.27687500000000004</v>
      </c>
      <c r="L194" s="172">
        <f t="shared" si="98"/>
        <v>0.21342857142857144</v>
      </c>
      <c r="M194" s="172">
        <f t="shared" si="98"/>
        <v>0.12555555555555553</v>
      </c>
      <c r="N194" s="172">
        <f t="shared" si="98"/>
        <v>0.21583333333333335</v>
      </c>
      <c r="O194" s="172">
        <f t="shared" si="98"/>
        <v>0.39500000000000002</v>
      </c>
      <c r="P194" s="172">
        <f t="shared" si="98"/>
        <v>0.38566666666666666</v>
      </c>
      <c r="Q194" s="172">
        <f t="shared" si="98"/>
        <v>0.13664285714285715</v>
      </c>
      <c r="R194" s="172">
        <f t="shared" si="98"/>
        <v>0.63</v>
      </c>
      <c r="S194" s="172">
        <f t="shared" si="98"/>
        <v>0.35533333333333333</v>
      </c>
      <c r="T194" s="172">
        <f t="shared" si="98"/>
        <v>0.30444444444444446</v>
      </c>
    </row>
    <row r="195" spans="2:20" s="154" customFormat="1" ht="18" customHeight="1">
      <c r="B195" s="323" t="s">
        <v>266</v>
      </c>
      <c r="C195" s="323"/>
      <c r="D195" s="323"/>
      <c r="E195" s="323"/>
      <c r="F195" s="323"/>
      <c r="G195" s="323"/>
      <c r="H195" s="323"/>
      <c r="I195" s="323"/>
      <c r="J195" s="323"/>
      <c r="K195" s="323"/>
      <c r="L195" s="323"/>
      <c r="M195" s="323"/>
      <c r="N195" s="323"/>
      <c r="O195" s="323"/>
      <c r="P195" s="323"/>
      <c r="Q195" s="323"/>
      <c r="R195" s="323"/>
      <c r="S195" s="323"/>
      <c r="T195" s="323"/>
    </row>
    <row r="196" spans="2:20" s="154" customFormat="1" ht="18" customHeight="1">
      <c r="B196" s="146" t="s">
        <v>339</v>
      </c>
      <c r="C196" s="316" t="s">
        <v>340</v>
      </c>
      <c r="D196" s="316"/>
      <c r="E196" s="153">
        <v>100</v>
      </c>
      <c r="F196" s="153">
        <v>0.83</v>
      </c>
      <c r="G196" s="153">
        <v>5.03</v>
      </c>
      <c r="H196" s="153">
        <v>1.84</v>
      </c>
      <c r="I196" s="153">
        <v>56</v>
      </c>
      <c r="J196" s="153">
        <v>0.15</v>
      </c>
      <c r="K196" s="153">
        <v>0.03</v>
      </c>
      <c r="L196" s="153">
        <v>7.08</v>
      </c>
      <c r="M196" s="153">
        <v>0.15</v>
      </c>
      <c r="N196" s="153"/>
      <c r="O196" s="153">
        <v>33.96</v>
      </c>
      <c r="P196" s="153">
        <v>23.22</v>
      </c>
      <c r="Q196" s="153"/>
      <c r="R196" s="153">
        <v>0</v>
      </c>
      <c r="S196" s="153">
        <v>13.92</v>
      </c>
      <c r="T196" s="153">
        <v>0.64</v>
      </c>
    </row>
    <row r="197" spans="2:20" s="154" customFormat="1" ht="18" customHeight="1">
      <c r="B197" s="153">
        <v>24</v>
      </c>
      <c r="C197" s="315" t="s">
        <v>294</v>
      </c>
      <c r="D197" s="315"/>
      <c r="E197" s="153">
        <v>100</v>
      </c>
      <c r="F197" s="153">
        <v>0.5</v>
      </c>
      <c r="G197" s="153">
        <v>3.33</v>
      </c>
      <c r="H197" s="153">
        <v>2.67</v>
      </c>
      <c r="I197" s="153">
        <v>42.67</v>
      </c>
      <c r="J197" s="153">
        <v>0.1</v>
      </c>
      <c r="K197" s="153">
        <v>7.0000000000000007E-2</v>
      </c>
      <c r="L197" s="153">
        <v>20.67</v>
      </c>
      <c r="M197" s="153">
        <v>2E-3</v>
      </c>
      <c r="N197" s="153">
        <v>2.5</v>
      </c>
      <c r="O197" s="153">
        <v>47</v>
      </c>
      <c r="P197" s="153">
        <v>53.83</v>
      </c>
      <c r="Q197" s="153">
        <v>0.5</v>
      </c>
      <c r="R197" s="153">
        <v>3.0000000000000001E-3</v>
      </c>
      <c r="S197" s="153">
        <v>31</v>
      </c>
      <c r="T197" s="153">
        <v>0.83</v>
      </c>
    </row>
    <row r="198" spans="2:20" s="154" customFormat="1" ht="18" customHeight="1">
      <c r="B198" s="146">
        <v>84</v>
      </c>
      <c r="C198" s="316" t="s">
        <v>225</v>
      </c>
      <c r="D198" s="316"/>
      <c r="E198" s="153">
        <v>250</v>
      </c>
      <c r="F198" s="153">
        <v>2.21</v>
      </c>
      <c r="G198" s="153">
        <v>3.31</v>
      </c>
      <c r="H198" s="153">
        <v>15.93</v>
      </c>
      <c r="I198" s="153">
        <v>102.36</v>
      </c>
      <c r="J198" s="153">
        <v>0.06</v>
      </c>
      <c r="K198" s="153">
        <v>0.06</v>
      </c>
      <c r="L198" s="153">
        <v>23.75</v>
      </c>
      <c r="M198" s="153">
        <v>0.93</v>
      </c>
      <c r="N198" s="153">
        <v>0.125</v>
      </c>
      <c r="O198" s="153">
        <v>53.89</v>
      </c>
      <c r="P198" s="153">
        <v>60.94</v>
      </c>
      <c r="Q198" s="153">
        <v>1.6</v>
      </c>
      <c r="R198" s="153">
        <v>4.0000000000000001E-3</v>
      </c>
      <c r="S198" s="153">
        <v>28.05</v>
      </c>
      <c r="T198" s="153">
        <v>1</v>
      </c>
    </row>
    <row r="199" spans="2:20" s="154" customFormat="1" ht="18" customHeight="1">
      <c r="B199" s="153">
        <v>260</v>
      </c>
      <c r="C199" s="315" t="s">
        <v>337</v>
      </c>
      <c r="D199" s="315"/>
      <c r="E199" s="153">
        <v>100</v>
      </c>
      <c r="F199" s="153">
        <v>12.55</v>
      </c>
      <c r="G199" s="153">
        <v>12.99</v>
      </c>
      <c r="H199" s="153">
        <v>4.01</v>
      </c>
      <c r="I199" s="153">
        <v>182.25</v>
      </c>
      <c r="J199" s="153">
        <v>7.0000000000000007E-2</v>
      </c>
      <c r="K199" s="153">
        <v>0.11</v>
      </c>
      <c r="L199" s="153">
        <v>5.07</v>
      </c>
      <c r="M199" s="153">
        <v>1.49</v>
      </c>
      <c r="N199" s="153">
        <v>2.25</v>
      </c>
      <c r="O199" s="153">
        <v>30.52</v>
      </c>
      <c r="P199" s="153">
        <v>119.19</v>
      </c>
      <c r="Q199" s="153"/>
      <c r="R199" s="153"/>
      <c r="S199" s="153">
        <v>24.03</v>
      </c>
      <c r="T199" s="153">
        <v>2.1</v>
      </c>
    </row>
    <row r="200" spans="2:20" s="154" customFormat="1" ht="18" customHeight="1">
      <c r="B200" s="153">
        <v>203</v>
      </c>
      <c r="C200" s="315" t="s">
        <v>268</v>
      </c>
      <c r="D200" s="315"/>
      <c r="E200" s="153">
        <v>180</v>
      </c>
      <c r="F200" s="153">
        <v>6.84</v>
      </c>
      <c r="G200" s="153">
        <v>4.1159999999999997</v>
      </c>
      <c r="H200" s="153">
        <v>43.74</v>
      </c>
      <c r="I200" s="153">
        <v>239.364</v>
      </c>
      <c r="J200" s="153">
        <v>0.108</v>
      </c>
      <c r="K200" s="153">
        <v>3.5999999999999997E-2</v>
      </c>
      <c r="L200" s="153">
        <v>0</v>
      </c>
      <c r="M200" s="153">
        <v>3.5999999999999997E-2</v>
      </c>
      <c r="N200" s="153">
        <v>1.5</v>
      </c>
      <c r="O200" s="153">
        <v>15.94</v>
      </c>
      <c r="P200" s="153">
        <v>55.45</v>
      </c>
      <c r="Q200" s="153">
        <v>0.94</v>
      </c>
      <c r="R200" s="153">
        <v>2E-3</v>
      </c>
      <c r="S200" s="153">
        <v>10.16</v>
      </c>
      <c r="T200" s="153">
        <v>1.03</v>
      </c>
    </row>
    <row r="201" spans="2:20" s="154" customFormat="1" ht="30" customHeight="1">
      <c r="B201" s="153">
        <v>648</v>
      </c>
      <c r="C201" s="315" t="s">
        <v>219</v>
      </c>
      <c r="D201" s="315"/>
      <c r="E201" s="153">
        <v>200</v>
      </c>
      <c r="F201" s="153">
        <v>0</v>
      </c>
      <c r="G201" s="153">
        <v>0</v>
      </c>
      <c r="H201" s="153">
        <v>20</v>
      </c>
      <c r="I201" s="153">
        <v>76</v>
      </c>
      <c r="J201" s="153">
        <v>0</v>
      </c>
      <c r="K201" s="153">
        <v>0</v>
      </c>
      <c r="L201" s="153">
        <v>0</v>
      </c>
      <c r="M201" s="153">
        <v>0</v>
      </c>
      <c r="N201" s="153"/>
      <c r="O201" s="153">
        <v>0.48</v>
      </c>
      <c r="P201" s="153">
        <v>0</v>
      </c>
      <c r="Q201" s="153">
        <v>0</v>
      </c>
      <c r="R201" s="153">
        <v>0</v>
      </c>
      <c r="S201" s="153">
        <v>0</v>
      </c>
      <c r="T201" s="153">
        <v>0.06</v>
      </c>
    </row>
    <row r="202" spans="2:20" s="154" customFormat="1" ht="18" customHeight="1">
      <c r="B202" s="153" t="s">
        <v>270</v>
      </c>
      <c r="C202" s="315" t="s">
        <v>135</v>
      </c>
      <c r="D202" s="315"/>
      <c r="E202" s="153">
        <v>40</v>
      </c>
      <c r="F202" s="153">
        <v>2.64</v>
      </c>
      <c r="G202" s="153">
        <v>0.48</v>
      </c>
      <c r="H202" s="153">
        <v>13.68</v>
      </c>
      <c r="I202" s="153">
        <v>69.599999999999994</v>
      </c>
      <c r="J202" s="153">
        <v>0.08</v>
      </c>
      <c r="K202" s="153">
        <v>0.04</v>
      </c>
      <c r="L202" s="153">
        <v>0</v>
      </c>
      <c r="M202" s="153">
        <v>0</v>
      </c>
      <c r="N202" s="153">
        <v>2.4</v>
      </c>
      <c r="O202" s="153">
        <v>14</v>
      </c>
      <c r="P202" s="153">
        <v>63.2</v>
      </c>
      <c r="Q202" s="153">
        <v>1.2</v>
      </c>
      <c r="R202" s="153">
        <v>1E-3</v>
      </c>
      <c r="S202" s="153">
        <v>9.4</v>
      </c>
      <c r="T202" s="153">
        <v>0.78</v>
      </c>
    </row>
    <row r="203" spans="2:20" s="154" customFormat="1" ht="18" customHeight="1">
      <c r="B203" s="153" t="s">
        <v>270</v>
      </c>
      <c r="C203" s="315" t="s">
        <v>35</v>
      </c>
      <c r="D203" s="315"/>
      <c r="E203" s="153">
        <v>30</v>
      </c>
      <c r="F203" s="153">
        <v>1.52</v>
      </c>
      <c r="G203" s="153">
        <v>0.16</v>
      </c>
      <c r="H203" s="153">
        <v>9.84</v>
      </c>
      <c r="I203" s="153">
        <v>46.9</v>
      </c>
      <c r="J203" s="153">
        <v>0.02</v>
      </c>
      <c r="K203" s="153">
        <v>0.01</v>
      </c>
      <c r="L203" s="153">
        <v>0.44</v>
      </c>
      <c r="M203" s="153">
        <v>0</v>
      </c>
      <c r="N203" s="153">
        <v>0.7</v>
      </c>
      <c r="O203" s="153">
        <v>4</v>
      </c>
      <c r="P203" s="153">
        <v>13</v>
      </c>
      <c r="Q203" s="153">
        <v>8.0000000000000002E-3</v>
      </c>
      <c r="R203" s="153">
        <v>1E-3</v>
      </c>
      <c r="S203" s="153">
        <v>0</v>
      </c>
      <c r="T203" s="153">
        <v>0.22</v>
      </c>
    </row>
    <row r="204" spans="2:20" s="154" customFormat="1" ht="26.25" customHeight="1">
      <c r="B204" s="311" t="s">
        <v>271</v>
      </c>
      <c r="C204" s="311"/>
      <c r="D204" s="311"/>
      <c r="E204" s="164">
        <f>SUM(E197:E203)</f>
        <v>900</v>
      </c>
      <c r="F204" s="164">
        <f>F196+F198+F199+F200+F201+F202+F203</f>
        <v>26.59</v>
      </c>
      <c r="G204" s="164">
        <f t="shared" ref="G204:T204" si="99">SUM(G197:G203)</f>
        <v>24.386000000000003</v>
      </c>
      <c r="H204" s="164">
        <f t="shared" si="99"/>
        <v>109.87</v>
      </c>
      <c r="I204" s="164">
        <f t="shared" si="99"/>
        <v>759.14400000000001</v>
      </c>
      <c r="J204" s="164">
        <f t="shared" si="99"/>
        <v>0.43800000000000006</v>
      </c>
      <c r="K204" s="164">
        <f t="shared" si="99"/>
        <v>0.32599999999999996</v>
      </c>
      <c r="L204" s="164">
        <f t="shared" si="99"/>
        <v>49.93</v>
      </c>
      <c r="M204" s="164">
        <f t="shared" si="99"/>
        <v>2.4580000000000002</v>
      </c>
      <c r="N204" s="164">
        <f t="shared" si="99"/>
        <v>9.4749999999999996</v>
      </c>
      <c r="O204" s="164">
        <f t="shared" si="99"/>
        <v>165.82999999999998</v>
      </c>
      <c r="P204" s="164">
        <f t="shared" si="99"/>
        <v>365.60999999999996</v>
      </c>
      <c r="Q204" s="164">
        <f t="shared" si="99"/>
        <v>4.2480000000000002</v>
      </c>
      <c r="R204" s="164">
        <f t="shared" si="99"/>
        <v>1.1000000000000003E-2</v>
      </c>
      <c r="S204" s="164">
        <f t="shared" si="99"/>
        <v>102.64</v>
      </c>
      <c r="T204" s="164">
        <f t="shared" si="99"/>
        <v>6.02</v>
      </c>
    </row>
    <row r="205" spans="2:20" s="154" customFormat="1" ht="18" customHeight="1">
      <c r="B205" s="311" t="s">
        <v>265</v>
      </c>
      <c r="C205" s="311"/>
      <c r="D205" s="311"/>
      <c r="E205" s="311"/>
      <c r="F205" s="172">
        <f t="shared" ref="F205:T205" si="100">F204/F212</f>
        <v>0.29544444444444445</v>
      </c>
      <c r="G205" s="172">
        <f t="shared" si="100"/>
        <v>0.2650652173913044</v>
      </c>
      <c r="H205" s="172">
        <f t="shared" si="100"/>
        <v>0.28686684073107049</v>
      </c>
      <c r="I205" s="172">
        <f t="shared" si="100"/>
        <v>0.27909705882352942</v>
      </c>
      <c r="J205" s="172">
        <f t="shared" si="100"/>
        <v>0.31285714285714294</v>
      </c>
      <c r="K205" s="172">
        <f t="shared" si="100"/>
        <v>0.20374999999999996</v>
      </c>
      <c r="L205" s="172">
        <f t="shared" si="100"/>
        <v>0.7132857142857143</v>
      </c>
      <c r="M205" s="172">
        <f t="shared" si="100"/>
        <v>2.7311111111111113</v>
      </c>
      <c r="N205" s="172">
        <f t="shared" si="100"/>
        <v>0.7895833333333333</v>
      </c>
      <c r="O205" s="172">
        <f t="shared" si="100"/>
        <v>0.13819166666666666</v>
      </c>
      <c r="P205" s="172">
        <f t="shared" si="100"/>
        <v>0.30467499999999997</v>
      </c>
      <c r="Q205" s="172">
        <f t="shared" si="100"/>
        <v>0.30342857142857144</v>
      </c>
      <c r="R205" s="172">
        <f t="shared" si="100"/>
        <v>0.11000000000000003</v>
      </c>
      <c r="S205" s="172">
        <f t="shared" si="100"/>
        <v>0.34213333333333334</v>
      </c>
      <c r="T205" s="172">
        <f t="shared" si="100"/>
        <v>0.33444444444444443</v>
      </c>
    </row>
    <row r="206" spans="2:20" s="154" customFormat="1" ht="18" customHeight="1">
      <c r="B206" s="323" t="s">
        <v>272</v>
      </c>
      <c r="C206" s="323"/>
      <c r="D206" s="323"/>
      <c r="E206" s="323"/>
      <c r="F206" s="323"/>
      <c r="G206" s="323"/>
      <c r="H206" s="323"/>
      <c r="I206" s="323"/>
      <c r="J206" s="323"/>
      <c r="K206" s="323"/>
      <c r="L206" s="323"/>
      <c r="M206" s="323"/>
      <c r="N206" s="323"/>
      <c r="O206" s="323"/>
      <c r="P206" s="323"/>
      <c r="Q206" s="323"/>
      <c r="R206" s="323"/>
      <c r="S206" s="323"/>
      <c r="T206" s="323"/>
    </row>
    <row r="207" spans="2:20" s="154" customFormat="1" ht="18" customHeight="1">
      <c r="B207" s="153" t="s">
        <v>270</v>
      </c>
      <c r="C207" s="315" t="s">
        <v>402</v>
      </c>
      <c r="D207" s="315"/>
      <c r="E207" s="153">
        <v>80</v>
      </c>
      <c r="F207" s="153">
        <v>5.95</v>
      </c>
      <c r="G207" s="153">
        <v>6.05</v>
      </c>
      <c r="H207" s="153">
        <v>38.22</v>
      </c>
      <c r="I207" s="153">
        <v>231.11</v>
      </c>
      <c r="J207" s="153">
        <v>0.06</v>
      </c>
      <c r="K207" s="153">
        <v>0.06</v>
      </c>
      <c r="L207" s="153">
        <v>0.02</v>
      </c>
      <c r="M207" s="153">
        <v>0.06</v>
      </c>
      <c r="N207" s="153"/>
      <c r="O207" s="153">
        <v>19.489999999999998</v>
      </c>
      <c r="P207" s="153">
        <v>55.89</v>
      </c>
      <c r="Q207" s="153"/>
      <c r="R207" s="153">
        <v>0</v>
      </c>
      <c r="S207" s="153">
        <v>8.27</v>
      </c>
      <c r="T207" s="153">
        <v>0.7</v>
      </c>
    </row>
    <row r="208" spans="2:20" s="154" customFormat="1" ht="18" customHeight="1">
      <c r="B208" s="146">
        <v>376</v>
      </c>
      <c r="C208" s="316" t="s">
        <v>57</v>
      </c>
      <c r="D208" s="316"/>
      <c r="E208" s="146">
        <v>200</v>
      </c>
      <c r="F208" s="146">
        <v>0.2</v>
      </c>
      <c r="G208" s="146">
        <v>0.05</v>
      </c>
      <c r="H208" s="146">
        <v>15.01</v>
      </c>
      <c r="I208" s="146">
        <v>61</v>
      </c>
      <c r="J208" s="146">
        <v>0</v>
      </c>
      <c r="K208" s="146">
        <v>0.01</v>
      </c>
      <c r="L208" s="146">
        <v>9</v>
      </c>
      <c r="M208" s="146">
        <v>1E-4</v>
      </c>
      <c r="N208" s="146">
        <v>4.4999999999999998E-2</v>
      </c>
      <c r="O208" s="146">
        <v>5.25</v>
      </c>
      <c r="P208" s="146">
        <v>8.24</v>
      </c>
      <c r="Q208" s="146">
        <v>8.0000000000000002E-3</v>
      </c>
      <c r="R208" s="146">
        <v>0</v>
      </c>
      <c r="S208" s="146">
        <v>4.4000000000000004</v>
      </c>
      <c r="T208" s="146">
        <v>0.87</v>
      </c>
    </row>
    <row r="209" spans="2:20" s="154" customFormat="1" ht="18" customHeight="1">
      <c r="B209" s="312" t="s">
        <v>274</v>
      </c>
      <c r="C209" s="313"/>
      <c r="D209" s="314"/>
      <c r="E209" s="164">
        <f>SUM(E207:E208)</f>
        <v>280</v>
      </c>
      <c r="F209" s="164">
        <f t="shared" ref="F209:T209" si="101">SUM(F207:F208)</f>
        <v>6.15</v>
      </c>
      <c r="G209" s="164">
        <f t="shared" si="101"/>
        <v>6.1</v>
      </c>
      <c r="H209" s="164">
        <f t="shared" si="101"/>
        <v>53.23</v>
      </c>
      <c r="I209" s="164">
        <f t="shared" si="101"/>
        <v>292.11</v>
      </c>
      <c r="J209" s="164">
        <f t="shared" si="101"/>
        <v>0.06</v>
      </c>
      <c r="K209" s="164">
        <f t="shared" si="101"/>
        <v>6.9999999999999993E-2</v>
      </c>
      <c r="L209" s="164">
        <f t="shared" si="101"/>
        <v>9.02</v>
      </c>
      <c r="M209" s="164">
        <f t="shared" si="101"/>
        <v>6.0100000000000001E-2</v>
      </c>
      <c r="N209" s="164">
        <f t="shared" si="101"/>
        <v>4.4999999999999998E-2</v>
      </c>
      <c r="O209" s="164">
        <f t="shared" si="101"/>
        <v>24.74</v>
      </c>
      <c r="P209" s="164">
        <f t="shared" si="101"/>
        <v>64.13</v>
      </c>
      <c r="Q209" s="164">
        <f t="shared" si="101"/>
        <v>8.0000000000000002E-3</v>
      </c>
      <c r="R209" s="164">
        <f t="shared" si="101"/>
        <v>0</v>
      </c>
      <c r="S209" s="164">
        <f t="shared" si="101"/>
        <v>12.67</v>
      </c>
      <c r="T209" s="164">
        <f t="shared" si="101"/>
        <v>1.5699999999999998</v>
      </c>
    </row>
    <row r="210" spans="2:20" s="154" customFormat="1" ht="18" customHeight="1">
      <c r="B210" s="311" t="s">
        <v>265</v>
      </c>
      <c r="C210" s="311"/>
      <c r="D210" s="311"/>
      <c r="E210" s="311"/>
      <c r="F210" s="172">
        <f>F209/F212</f>
        <v>6.8333333333333343E-2</v>
      </c>
      <c r="G210" s="172">
        <f t="shared" ref="G210:T210" si="102">G209/G212</f>
        <v>6.6304347826086948E-2</v>
      </c>
      <c r="H210" s="172">
        <f t="shared" si="102"/>
        <v>0.13898172323759792</v>
      </c>
      <c r="I210" s="172">
        <f t="shared" si="102"/>
        <v>0.10739338235294119</v>
      </c>
      <c r="J210" s="172">
        <f t="shared" si="102"/>
        <v>4.2857142857142858E-2</v>
      </c>
      <c r="K210" s="172">
        <f t="shared" si="102"/>
        <v>4.374999999999999E-2</v>
      </c>
      <c r="L210" s="172">
        <f t="shared" si="102"/>
        <v>0.12885714285714286</v>
      </c>
      <c r="M210" s="172">
        <f t="shared" si="102"/>
        <v>6.6777777777777783E-2</v>
      </c>
      <c r="N210" s="172">
        <f t="shared" si="102"/>
        <v>3.7499999999999999E-3</v>
      </c>
      <c r="O210" s="172">
        <f t="shared" si="102"/>
        <v>2.0616666666666665E-2</v>
      </c>
      <c r="P210" s="172">
        <f t="shared" si="102"/>
        <v>5.3441666666666665E-2</v>
      </c>
      <c r="Q210" s="172">
        <f t="shared" si="102"/>
        <v>5.7142857142857147E-4</v>
      </c>
      <c r="R210" s="172">
        <f t="shared" si="102"/>
        <v>0</v>
      </c>
      <c r="S210" s="172">
        <f t="shared" si="102"/>
        <v>4.2233333333333331E-2</v>
      </c>
      <c r="T210" s="172">
        <f t="shared" si="102"/>
        <v>8.7222222222222215E-2</v>
      </c>
    </row>
    <row r="211" spans="2:20" s="154" customFormat="1" ht="18" customHeight="1">
      <c r="B211" s="311" t="s">
        <v>275</v>
      </c>
      <c r="C211" s="311"/>
      <c r="D211" s="311"/>
      <c r="E211" s="311"/>
      <c r="F211" s="164">
        <f>F193+F204+F209</f>
        <v>50.550000000000004</v>
      </c>
      <c r="G211" s="164">
        <f t="shared" ref="G211:T211" si="103">G193+G204+G209</f>
        <v>53.916000000000004</v>
      </c>
      <c r="H211" s="164">
        <f t="shared" si="103"/>
        <v>265.61</v>
      </c>
      <c r="I211" s="164">
        <f t="shared" si="103"/>
        <v>1743.3940000000002</v>
      </c>
      <c r="J211" s="164">
        <f t="shared" si="103"/>
        <v>0.81800000000000006</v>
      </c>
      <c r="K211" s="164">
        <f t="shared" si="103"/>
        <v>0.83899999999999997</v>
      </c>
      <c r="L211" s="164">
        <f t="shared" si="103"/>
        <v>73.89</v>
      </c>
      <c r="M211" s="164">
        <f t="shared" si="103"/>
        <v>2.6311</v>
      </c>
      <c r="N211" s="164">
        <f t="shared" si="103"/>
        <v>12.11</v>
      </c>
      <c r="O211" s="164">
        <f t="shared" si="103"/>
        <v>664.56999999999994</v>
      </c>
      <c r="P211" s="164">
        <f t="shared" si="103"/>
        <v>892.54</v>
      </c>
      <c r="Q211" s="164">
        <f t="shared" si="103"/>
        <v>6.1690000000000005</v>
      </c>
      <c r="R211" s="164">
        <f t="shared" si="103"/>
        <v>7.400000000000001E-2</v>
      </c>
      <c r="S211" s="164">
        <f t="shared" si="103"/>
        <v>221.91</v>
      </c>
      <c r="T211" s="164">
        <f t="shared" si="103"/>
        <v>13.07</v>
      </c>
    </row>
    <row r="212" spans="2:20" s="154" customFormat="1" ht="18" customHeight="1">
      <c r="B212" s="311" t="s">
        <v>276</v>
      </c>
      <c r="C212" s="311"/>
      <c r="D212" s="311"/>
      <c r="E212" s="311"/>
      <c r="F212" s="153">
        <v>90</v>
      </c>
      <c r="G212" s="153">
        <v>92</v>
      </c>
      <c r="H212" s="153">
        <v>383</v>
      </c>
      <c r="I212" s="153">
        <v>2720</v>
      </c>
      <c r="J212" s="153">
        <v>1.4</v>
      </c>
      <c r="K212" s="153">
        <v>1.6</v>
      </c>
      <c r="L212" s="153">
        <v>70</v>
      </c>
      <c r="M212" s="153">
        <v>0.9</v>
      </c>
      <c r="N212" s="153">
        <v>12</v>
      </c>
      <c r="O212" s="153">
        <v>1200</v>
      </c>
      <c r="P212" s="153">
        <v>1200</v>
      </c>
      <c r="Q212" s="153">
        <v>14</v>
      </c>
      <c r="R212" s="153">
        <v>0.1</v>
      </c>
      <c r="S212" s="153">
        <v>300</v>
      </c>
      <c r="T212" s="153">
        <v>18</v>
      </c>
    </row>
    <row r="213" spans="2:20" s="154" customFormat="1" ht="18" customHeight="1">
      <c r="B213" s="311" t="s">
        <v>265</v>
      </c>
      <c r="C213" s="311"/>
      <c r="D213" s="311"/>
      <c r="E213" s="311"/>
      <c r="F213" s="172">
        <f>F211/F212</f>
        <v>0.56166666666666676</v>
      </c>
      <c r="G213" s="172">
        <f t="shared" ref="G213:T213" si="104">G211/G212</f>
        <v>0.58604347826086955</v>
      </c>
      <c r="H213" s="172">
        <f t="shared" si="104"/>
        <v>0.69349869451697133</v>
      </c>
      <c r="I213" s="172">
        <f t="shared" si="104"/>
        <v>0.64095367647058832</v>
      </c>
      <c r="J213" s="172">
        <f t="shared" si="104"/>
        <v>0.58428571428571441</v>
      </c>
      <c r="K213" s="172">
        <f t="shared" si="104"/>
        <v>0.52437499999999992</v>
      </c>
      <c r="L213" s="172">
        <f t="shared" si="104"/>
        <v>1.0555714285714286</v>
      </c>
      <c r="M213" s="172">
        <f t="shared" si="104"/>
        <v>2.9234444444444443</v>
      </c>
      <c r="N213" s="172">
        <f t="shared" si="104"/>
        <v>1.0091666666666665</v>
      </c>
      <c r="O213" s="172">
        <f t="shared" si="104"/>
        <v>0.55380833333333324</v>
      </c>
      <c r="P213" s="172">
        <f t="shared" si="104"/>
        <v>0.74378333333333335</v>
      </c>
      <c r="Q213" s="172">
        <f t="shared" si="104"/>
        <v>0.44064285714285717</v>
      </c>
      <c r="R213" s="172">
        <f t="shared" si="104"/>
        <v>0.7400000000000001</v>
      </c>
      <c r="S213" s="172">
        <f t="shared" si="104"/>
        <v>0.73970000000000002</v>
      </c>
      <c r="T213" s="172">
        <f t="shared" si="104"/>
        <v>0.72611111111111115</v>
      </c>
    </row>
    <row r="214" spans="2:20" s="154" customFormat="1" ht="18" customHeight="1">
      <c r="B214" s="165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324" t="s">
        <v>229</v>
      </c>
      <c r="N214" s="324"/>
      <c r="O214" s="324"/>
      <c r="P214" s="324"/>
      <c r="Q214" s="324"/>
      <c r="R214" s="324"/>
      <c r="S214" s="324"/>
      <c r="T214" s="324"/>
    </row>
    <row r="215" spans="2:20" s="154" customFormat="1" ht="18" customHeight="1">
      <c r="B215" s="323" t="s">
        <v>306</v>
      </c>
      <c r="C215" s="323"/>
      <c r="D215" s="323"/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Q215" s="323"/>
      <c r="R215" s="323"/>
      <c r="S215" s="323"/>
      <c r="T215" s="323"/>
    </row>
    <row r="216" spans="2:20" s="154" customFormat="1" ht="18" customHeight="1">
      <c r="B216" s="311" t="s">
        <v>231</v>
      </c>
      <c r="C216" s="311"/>
      <c r="D216" s="153"/>
      <c r="E216" s="153"/>
      <c r="F216" s="153"/>
      <c r="G216" s="324" t="s">
        <v>278</v>
      </c>
      <c r="H216" s="324"/>
      <c r="I216" s="324"/>
      <c r="J216" s="153"/>
      <c r="K216" s="153"/>
      <c r="L216" s="311" t="s">
        <v>233</v>
      </c>
      <c r="M216" s="311"/>
      <c r="N216" s="324" t="s">
        <v>234</v>
      </c>
      <c r="O216" s="324"/>
      <c r="P216" s="324"/>
      <c r="Q216" s="324"/>
      <c r="R216" s="153"/>
      <c r="S216" s="153"/>
      <c r="T216" s="153"/>
    </row>
    <row r="217" spans="2:20" s="154" customFormat="1" ht="18" customHeight="1">
      <c r="B217" s="153"/>
      <c r="C217" s="153"/>
      <c r="D217" s="153"/>
      <c r="E217" s="323" t="s">
        <v>235</v>
      </c>
      <c r="F217" s="323"/>
      <c r="G217" s="153">
        <v>2</v>
      </c>
      <c r="H217" s="153"/>
      <c r="I217" s="153"/>
      <c r="J217" s="153"/>
      <c r="K217" s="153"/>
      <c r="L217" s="311" t="s">
        <v>236</v>
      </c>
      <c r="M217" s="311"/>
      <c r="N217" s="324" t="s">
        <v>320</v>
      </c>
      <c r="O217" s="324"/>
      <c r="P217" s="324"/>
      <c r="Q217" s="324"/>
      <c r="R217" s="324"/>
      <c r="S217" s="324"/>
      <c r="T217" s="324"/>
    </row>
    <row r="218" spans="2:20" s="154" customFormat="1" ht="18" customHeight="1">
      <c r="B218" s="166" t="s">
        <v>279</v>
      </c>
      <c r="C218" s="340" t="s">
        <v>239</v>
      </c>
      <c r="D218" s="340"/>
      <c r="E218" s="340" t="s">
        <v>240</v>
      </c>
      <c r="F218" s="340" t="s">
        <v>241</v>
      </c>
      <c r="G218" s="340"/>
      <c r="H218" s="340"/>
      <c r="I218" s="166" t="s">
        <v>242</v>
      </c>
      <c r="J218" s="340" t="s">
        <v>244</v>
      </c>
      <c r="K218" s="340"/>
      <c r="L218" s="340"/>
      <c r="M218" s="340"/>
      <c r="N218" s="340"/>
      <c r="O218" s="340" t="s">
        <v>245</v>
      </c>
      <c r="P218" s="340"/>
      <c r="Q218" s="340"/>
      <c r="R218" s="340"/>
      <c r="S218" s="340"/>
      <c r="T218" s="340"/>
    </row>
    <row r="219" spans="2:20" s="154" customFormat="1" ht="18" customHeight="1">
      <c r="B219" s="166" t="s">
        <v>280</v>
      </c>
      <c r="C219" s="340"/>
      <c r="D219" s="340"/>
      <c r="E219" s="340"/>
      <c r="F219" s="166" t="s">
        <v>246</v>
      </c>
      <c r="G219" s="166" t="s">
        <v>247</v>
      </c>
      <c r="H219" s="166" t="s">
        <v>248</v>
      </c>
      <c r="I219" s="166" t="s">
        <v>243</v>
      </c>
      <c r="J219" s="166" t="s">
        <v>249</v>
      </c>
      <c r="K219" s="166" t="s">
        <v>250</v>
      </c>
      <c r="L219" s="166" t="s">
        <v>251</v>
      </c>
      <c r="M219" s="166" t="s">
        <v>252</v>
      </c>
      <c r="N219" s="166" t="s">
        <v>253</v>
      </c>
      <c r="O219" s="166" t="s">
        <v>254</v>
      </c>
      <c r="P219" s="166" t="s">
        <v>255</v>
      </c>
      <c r="Q219" s="166" t="s">
        <v>256</v>
      </c>
      <c r="R219" s="166" t="s">
        <v>257</v>
      </c>
      <c r="S219" s="166" t="s">
        <v>258</v>
      </c>
      <c r="T219" s="166" t="s">
        <v>259</v>
      </c>
    </row>
    <row r="220" spans="2:20" s="154" customFormat="1" ht="18" customHeight="1">
      <c r="B220" s="167">
        <v>1</v>
      </c>
      <c r="C220" s="325">
        <v>2</v>
      </c>
      <c r="D220" s="325"/>
      <c r="E220" s="167">
        <v>3</v>
      </c>
      <c r="F220" s="167">
        <v>4</v>
      </c>
      <c r="G220" s="167">
        <v>5</v>
      </c>
      <c r="H220" s="167">
        <v>6</v>
      </c>
      <c r="I220" s="167">
        <v>7</v>
      </c>
      <c r="J220" s="167">
        <v>8</v>
      </c>
      <c r="K220" s="167">
        <v>9</v>
      </c>
      <c r="L220" s="167">
        <v>10</v>
      </c>
      <c r="M220" s="167">
        <v>11</v>
      </c>
      <c r="N220" s="167">
        <v>12</v>
      </c>
      <c r="O220" s="167">
        <v>13</v>
      </c>
      <c r="P220" s="167">
        <v>14</v>
      </c>
      <c r="Q220" s="167">
        <v>15</v>
      </c>
      <c r="R220" s="167">
        <v>16</v>
      </c>
      <c r="S220" s="167">
        <v>17</v>
      </c>
      <c r="T220" s="167">
        <v>18</v>
      </c>
    </row>
    <row r="221" spans="2:20" s="154" customFormat="1" ht="18" customHeight="1">
      <c r="B221" s="323" t="s">
        <v>281</v>
      </c>
      <c r="C221" s="323"/>
      <c r="D221" s="323"/>
      <c r="E221" s="323"/>
      <c r="F221" s="323"/>
      <c r="G221" s="323"/>
      <c r="H221" s="323"/>
      <c r="I221" s="323"/>
      <c r="J221" s="323"/>
      <c r="K221" s="323"/>
      <c r="L221" s="323"/>
      <c r="M221" s="323"/>
      <c r="N221" s="323"/>
      <c r="O221" s="323"/>
      <c r="P221" s="323"/>
      <c r="Q221" s="323"/>
      <c r="R221" s="323"/>
      <c r="S221" s="323"/>
      <c r="T221" s="323"/>
    </row>
    <row r="222" spans="2:20" s="154" customFormat="1" ht="18" customHeight="1">
      <c r="B222" s="148" t="s">
        <v>324</v>
      </c>
      <c r="C222" s="316" t="s">
        <v>224</v>
      </c>
      <c r="D222" s="316"/>
      <c r="E222" s="146">
        <v>40</v>
      </c>
      <c r="F222" s="146">
        <v>0.4</v>
      </c>
      <c r="G222" s="146">
        <v>1.8</v>
      </c>
      <c r="H222" s="146">
        <v>5.8</v>
      </c>
      <c r="I222" s="148">
        <v>40</v>
      </c>
      <c r="J222" s="146">
        <v>0.01</v>
      </c>
      <c r="K222" s="146">
        <v>0.01</v>
      </c>
      <c r="L222" s="146">
        <v>1.53</v>
      </c>
      <c r="M222" s="146">
        <v>0.01</v>
      </c>
      <c r="N222" s="146"/>
      <c r="O222" s="146">
        <v>8.19</v>
      </c>
      <c r="P222" s="146">
        <v>0</v>
      </c>
      <c r="Q222" s="146"/>
      <c r="R222" s="146">
        <v>0</v>
      </c>
      <c r="S222" s="146">
        <v>4.68</v>
      </c>
      <c r="T222" s="146">
        <v>0.21</v>
      </c>
    </row>
    <row r="223" spans="2:20" s="154" customFormat="1" ht="25.5" customHeight="1">
      <c r="B223" s="163">
        <v>71</v>
      </c>
      <c r="C223" s="315" t="s">
        <v>282</v>
      </c>
      <c r="D223" s="315"/>
      <c r="E223" s="163">
        <v>40</v>
      </c>
      <c r="F223" s="163">
        <v>0.33</v>
      </c>
      <c r="G223" s="163">
        <v>0.04</v>
      </c>
      <c r="H223" s="163">
        <v>1.1299999999999999</v>
      </c>
      <c r="I223" s="163">
        <v>6.23</v>
      </c>
      <c r="J223" s="163">
        <v>8.9999999999999993E-3</v>
      </c>
      <c r="K223" s="163">
        <v>0.01</v>
      </c>
      <c r="L223" s="163">
        <v>3</v>
      </c>
      <c r="M223" s="163">
        <v>3.0000000000000001E-3</v>
      </c>
      <c r="N223" s="163">
        <v>0.03</v>
      </c>
      <c r="O223" s="163">
        <v>6.9</v>
      </c>
      <c r="P223" s="163">
        <v>12.6</v>
      </c>
      <c r="Q223" s="163">
        <v>6.4000000000000001E-2</v>
      </c>
      <c r="R223" s="163">
        <v>1E-3</v>
      </c>
      <c r="S223" s="163">
        <v>4.2</v>
      </c>
      <c r="T223" s="163">
        <v>0.18</v>
      </c>
    </row>
    <row r="224" spans="2:20" s="154" customFormat="1" ht="30" customHeight="1">
      <c r="B224" s="153">
        <v>392</v>
      </c>
      <c r="C224" s="316" t="s">
        <v>215</v>
      </c>
      <c r="D224" s="316"/>
      <c r="E224" s="153">
        <v>100</v>
      </c>
      <c r="F224" s="153">
        <v>12.1</v>
      </c>
      <c r="G224" s="153">
        <v>12.73</v>
      </c>
      <c r="H224" s="153">
        <v>11.38</v>
      </c>
      <c r="I224" s="153">
        <v>208.53</v>
      </c>
      <c r="J224" s="153">
        <v>8.7999999999999995E-2</v>
      </c>
      <c r="K224" s="153">
        <v>0.15</v>
      </c>
      <c r="L224" s="153">
        <v>0.79</v>
      </c>
      <c r="M224" s="153">
        <v>2.5000000000000001E-2</v>
      </c>
      <c r="N224" s="153">
        <v>2.5000000000000001E-2</v>
      </c>
      <c r="O224" s="153">
        <v>35.54</v>
      </c>
      <c r="P224" s="153">
        <v>139.13</v>
      </c>
      <c r="Q224" s="153">
        <v>1.81</v>
      </c>
      <c r="R224" s="153">
        <v>0.1</v>
      </c>
      <c r="S224" s="153">
        <v>18.96</v>
      </c>
      <c r="T224" s="153">
        <v>1.78</v>
      </c>
    </row>
    <row r="225" spans="2:20" s="154" customFormat="1" ht="18" customHeight="1">
      <c r="B225" s="153">
        <v>175</v>
      </c>
      <c r="C225" s="315" t="s">
        <v>106</v>
      </c>
      <c r="D225" s="315"/>
      <c r="E225" s="153">
        <v>180</v>
      </c>
      <c r="F225" s="153">
        <v>4.0999999999999996</v>
      </c>
      <c r="G225" s="153">
        <v>5.9</v>
      </c>
      <c r="H225" s="153">
        <v>30.2</v>
      </c>
      <c r="I225" s="153">
        <v>190.9</v>
      </c>
      <c r="J225" s="153">
        <v>0.17</v>
      </c>
      <c r="K225" s="153">
        <v>0.12</v>
      </c>
      <c r="L225" s="153">
        <v>4</v>
      </c>
      <c r="M225" s="153">
        <v>4.3999999999999997E-2</v>
      </c>
      <c r="N225" s="153">
        <v>0</v>
      </c>
      <c r="O225" s="153">
        <v>152.9</v>
      </c>
      <c r="P225" s="153">
        <v>220.2</v>
      </c>
      <c r="Q225" s="153">
        <v>0</v>
      </c>
      <c r="R225" s="153">
        <v>0</v>
      </c>
      <c r="S225" s="153">
        <v>66.099999999999994</v>
      </c>
      <c r="T225" s="153">
        <v>0.36</v>
      </c>
    </row>
    <row r="226" spans="2:20" s="154" customFormat="1" ht="18" customHeight="1">
      <c r="B226" s="153">
        <v>376</v>
      </c>
      <c r="C226" s="315" t="s">
        <v>57</v>
      </c>
      <c r="D226" s="315"/>
      <c r="E226" s="153">
        <v>200</v>
      </c>
      <c r="F226" s="153">
        <v>0.2</v>
      </c>
      <c r="G226" s="153">
        <v>0.05</v>
      </c>
      <c r="H226" s="153">
        <v>15.01</v>
      </c>
      <c r="I226" s="153">
        <v>61</v>
      </c>
      <c r="J226" s="153">
        <v>0</v>
      </c>
      <c r="K226" s="153">
        <v>0.01</v>
      </c>
      <c r="L226" s="153">
        <v>9</v>
      </c>
      <c r="M226" s="153">
        <v>1E-4</v>
      </c>
      <c r="N226" s="153">
        <v>4.4999999999999998E-2</v>
      </c>
      <c r="O226" s="153">
        <v>5.25</v>
      </c>
      <c r="P226" s="153">
        <v>8.24</v>
      </c>
      <c r="Q226" s="153">
        <v>8.0000000000000002E-3</v>
      </c>
      <c r="R226" s="153">
        <v>0</v>
      </c>
      <c r="S226" s="153">
        <v>4.4000000000000004</v>
      </c>
      <c r="T226" s="153">
        <v>0.87</v>
      </c>
    </row>
    <row r="227" spans="2:20" s="154" customFormat="1" ht="18" customHeight="1">
      <c r="B227" s="153" t="s">
        <v>270</v>
      </c>
      <c r="C227" s="315" t="s">
        <v>88</v>
      </c>
      <c r="D227" s="315"/>
      <c r="E227" s="153">
        <v>40</v>
      </c>
      <c r="F227" s="153">
        <v>3.04</v>
      </c>
      <c r="G227" s="153">
        <v>0.32</v>
      </c>
      <c r="H227" s="153">
        <v>19.68</v>
      </c>
      <c r="I227" s="153">
        <v>93.8</v>
      </c>
      <c r="J227" s="153">
        <v>0.04</v>
      </c>
      <c r="K227" s="153">
        <v>0.01</v>
      </c>
      <c r="L227" s="153">
        <v>0.88</v>
      </c>
      <c r="M227" s="153">
        <v>0</v>
      </c>
      <c r="N227" s="153">
        <v>0.7</v>
      </c>
      <c r="O227" s="153">
        <v>8</v>
      </c>
      <c r="P227" s="153">
        <v>26</v>
      </c>
      <c r="Q227" s="153">
        <v>8.0000000000000002E-3</v>
      </c>
      <c r="R227" s="153">
        <v>3.0000000000000001E-3</v>
      </c>
      <c r="S227" s="153">
        <v>0</v>
      </c>
      <c r="T227" s="153">
        <v>0.44</v>
      </c>
    </row>
    <row r="228" spans="2:20" s="154" customFormat="1" ht="18" customHeight="1">
      <c r="B228" s="312" t="s">
        <v>285</v>
      </c>
      <c r="C228" s="313"/>
      <c r="D228" s="314"/>
      <c r="E228" s="164">
        <f>SUM(E223:E227)</f>
        <v>560</v>
      </c>
      <c r="F228" s="164">
        <f t="shared" ref="F228:T228" si="105">SUM(F223:F227)</f>
        <v>19.77</v>
      </c>
      <c r="G228" s="164">
        <f t="shared" si="105"/>
        <v>19.040000000000003</v>
      </c>
      <c r="H228" s="164">
        <f t="shared" si="105"/>
        <v>77.400000000000006</v>
      </c>
      <c r="I228" s="164">
        <f t="shared" si="105"/>
        <v>560.45999999999992</v>
      </c>
      <c r="J228" s="164">
        <f t="shared" si="105"/>
        <v>0.307</v>
      </c>
      <c r="K228" s="164">
        <f t="shared" si="105"/>
        <v>0.30000000000000004</v>
      </c>
      <c r="L228" s="164">
        <f t="shared" si="105"/>
        <v>17.669999999999998</v>
      </c>
      <c r="M228" s="164">
        <f t="shared" si="105"/>
        <v>7.2099999999999997E-2</v>
      </c>
      <c r="N228" s="164">
        <f t="shared" si="105"/>
        <v>0.79999999999999993</v>
      </c>
      <c r="O228" s="164">
        <f t="shared" si="105"/>
        <v>208.59</v>
      </c>
      <c r="P228" s="164">
        <f t="shared" si="105"/>
        <v>406.16999999999996</v>
      </c>
      <c r="Q228" s="164">
        <f t="shared" si="105"/>
        <v>1.8900000000000001</v>
      </c>
      <c r="R228" s="164">
        <f t="shared" si="105"/>
        <v>0.10400000000000001</v>
      </c>
      <c r="S228" s="164">
        <f t="shared" si="105"/>
        <v>93.66</v>
      </c>
      <c r="T228" s="164">
        <f t="shared" si="105"/>
        <v>3.63</v>
      </c>
    </row>
    <row r="229" spans="2:20" s="154" customFormat="1" ht="18" customHeight="1">
      <c r="B229" s="311" t="s">
        <v>265</v>
      </c>
      <c r="C229" s="311"/>
      <c r="D229" s="311"/>
      <c r="E229" s="311"/>
      <c r="F229" s="172">
        <f t="shared" ref="F229:T229" si="106">F228/F246</f>
        <v>0.21966666666666665</v>
      </c>
      <c r="G229" s="172">
        <f t="shared" si="106"/>
        <v>0.20695652173913046</v>
      </c>
      <c r="H229" s="172">
        <f t="shared" si="106"/>
        <v>0.20208877284595303</v>
      </c>
      <c r="I229" s="172">
        <f t="shared" si="106"/>
        <v>0.20605147058823525</v>
      </c>
      <c r="J229" s="172">
        <f t="shared" si="106"/>
        <v>0.21928571428571431</v>
      </c>
      <c r="K229" s="172">
        <f t="shared" si="106"/>
        <v>0.18750000000000003</v>
      </c>
      <c r="L229" s="172">
        <f t="shared" si="106"/>
        <v>0.25242857142857139</v>
      </c>
      <c r="M229" s="172">
        <f t="shared" si="106"/>
        <v>8.0111111111111105E-2</v>
      </c>
      <c r="N229" s="172">
        <f t="shared" si="106"/>
        <v>6.6666666666666666E-2</v>
      </c>
      <c r="O229" s="172">
        <f t="shared" si="106"/>
        <v>0.17382500000000001</v>
      </c>
      <c r="P229" s="172">
        <f t="shared" si="106"/>
        <v>0.33847499999999997</v>
      </c>
      <c r="Q229" s="172">
        <f t="shared" si="106"/>
        <v>0.13500000000000001</v>
      </c>
      <c r="R229" s="172">
        <f t="shared" si="106"/>
        <v>1.04</v>
      </c>
      <c r="S229" s="172">
        <f t="shared" si="106"/>
        <v>0.31219999999999998</v>
      </c>
      <c r="T229" s="172">
        <f t="shared" si="106"/>
        <v>0.20166666666666666</v>
      </c>
    </row>
    <row r="230" spans="2:20" s="154" customFormat="1" ht="18" customHeight="1">
      <c r="B230" s="323" t="s">
        <v>266</v>
      </c>
      <c r="C230" s="323"/>
      <c r="D230" s="323"/>
      <c r="E230" s="323"/>
      <c r="F230" s="323"/>
      <c r="G230" s="323"/>
      <c r="H230" s="323"/>
      <c r="I230" s="323"/>
      <c r="J230" s="323"/>
      <c r="K230" s="323"/>
      <c r="L230" s="323"/>
      <c r="M230" s="323"/>
      <c r="N230" s="323"/>
      <c r="O230" s="323"/>
      <c r="P230" s="323"/>
      <c r="Q230" s="323"/>
      <c r="R230" s="323"/>
      <c r="S230" s="323"/>
      <c r="T230" s="323"/>
    </row>
    <row r="231" spans="2:20" s="154" customFormat="1" ht="18" customHeight="1">
      <c r="B231" s="153">
        <v>45</v>
      </c>
      <c r="C231" s="315" t="s">
        <v>220</v>
      </c>
      <c r="D231" s="315"/>
      <c r="E231" s="153">
        <v>100</v>
      </c>
      <c r="F231" s="153">
        <v>1.35</v>
      </c>
      <c r="G231" s="153">
        <v>6.16</v>
      </c>
      <c r="H231" s="153">
        <v>7.69</v>
      </c>
      <c r="I231" s="153">
        <v>91.6</v>
      </c>
      <c r="J231" s="153">
        <v>0.05</v>
      </c>
      <c r="K231" s="153">
        <v>0.06</v>
      </c>
      <c r="L231" s="153">
        <v>13.25</v>
      </c>
      <c r="M231" s="153">
        <v>0.05</v>
      </c>
      <c r="N231" s="153"/>
      <c r="O231" s="153">
        <v>33.549999999999997</v>
      </c>
      <c r="P231" s="153">
        <v>40.17</v>
      </c>
      <c r="Q231" s="153"/>
      <c r="R231" s="153">
        <v>0</v>
      </c>
      <c r="S231" s="153">
        <v>21.35</v>
      </c>
      <c r="T231" s="153">
        <v>0.88</v>
      </c>
    </row>
    <row r="232" spans="2:20" s="154" customFormat="1" ht="30" customHeight="1">
      <c r="B232" s="153">
        <v>113</v>
      </c>
      <c r="C232" s="315" t="s">
        <v>408</v>
      </c>
      <c r="D232" s="315"/>
      <c r="E232" s="153" t="s">
        <v>227</v>
      </c>
      <c r="F232" s="153">
        <v>8.7100000000000009</v>
      </c>
      <c r="G232" s="153">
        <v>8.77</v>
      </c>
      <c r="H232" s="153">
        <v>23.67</v>
      </c>
      <c r="I232" s="153">
        <v>208.5</v>
      </c>
      <c r="J232" s="153">
        <v>0.23</v>
      </c>
      <c r="K232" s="153">
        <v>0.21</v>
      </c>
      <c r="L232" s="153">
        <v>5.3019999999999996</v>
      </c>
      <c r="M232" s="153">
        <v>1.04</v>
      </c>
      <c r="N232" s="153">
        <v>0.379</v>
      </c>
      <c r="O232" s="153">
        <v>43.8</v>
      </c>
      <c r="P232" s="153">
        <v>95.75</v>
      </c>
      <c r="Q232" s="153">
        <v>0.13</v>
      </c>
      <c r="R232" s="153">
        <v>1E-3</v>
      </c>
      <c r="S232" s="153">
        <v>18.3</v>
      </c>
      <c r="T232" s="153">
        <v>1.25</v>
      </c>
    </row>
    <row r="233" spans="2:20" s="154" customFormat="1" ht="18" customHeight="1">
      <c r="B233" s="153">
        <v>293</v>
      </c>
      <c r="C233" s="315" t="s">
        <v>312</v>
      </c>
      <c r="D233" s="315"/>
      <c r="E233" s="153">
        <v>100</v>
      </c>
      <c r="F233" s="153">
        <v>21.1</v>
      </c>
      <c r="G233" s="153">
        <v>12.08</v>
      </c>
      <c r="H233" s="153">
        <v>0.19</v>
      </c>
      <c r="I233" s="153">
        <v>193.93</v>
      </c>
      <c r="J233" s="153">
        <v>0.1</v>
      </c>
      <c r="K233" s="153">
        <v>0.17</v>
      </c>
      <c r="L233" s="153">
        <v>0.03</v>
      </c>
      <c r="M233" s="153">
        <v>0</v>
      </c>
      <c r="N233" s="153">
        <v>0</v>
      </c>
      <c r="O233" s="153">
        <v>21.6</v>
      </c>
      <c r="P233" s="153">
        <v>1.78</v>
      </c>
      <c r="Q233" s="153">
        <v>0</v>
      </c>
      <c r="R233" s="153">
        <v>0</v>
      </c>
      <c r="S233" s="153">
        <v>18.98</v>
      </c>
      <c r="T233" s="153">
        <v>2.06</v>
      </c>
    </row>
    <row r="234" spans="2:20" s="154" customFormat="1" ht="18" customHeight="1">
      <c r="B234" s="153">
        <v>139</v>
      </c>
      <c r="C234" s="315" t="s">
        <v>183</v>
      </c>
      <c r="D234" s="315"/>
      <c r="E234" s="153">
        <v>180</v>
      </c>
      <c r="F234" s="153">
        <v>3.32</v>
      </c>
      <c r="G234" s="153">
        <v>5.81</v>
      </c>
      <c r="H234" s="153">
        <v>12.94</v>
      </c>
      <c r="I234" s="153">
        <v>117.31</v>
      </c>
      <c r="J234" s="153">
        <v>0.77</v>
      </c>
      <c r="K234" s="153">
        <v>0.16</v>
      </c>
      <c r="L234" s="153">
        <v>0.16</v>
      </c>
      <c r="M234" s="153">
        <v>0.03</v>
      </c>
      <c r="N234" s="153">
        <v>0.01</v>
      </c>
      <c r="O234" s="153">
        <v>87.66</v>
      </c>
      <c r="P234" s="153">
        <v>64.8</v>
      </c>
      <c r="Q234" s="153">
        <v>3.5</v>
      </c>
      <c r="R234" s="153">
        <v>1.7000000000000001E-2</v>
      </c>
      <c r="S234" s="153">
        <v>33.299999999999997</v>
      </c>
      <c r="T234" s="153">
        <v>1.31</v>
      </c>
    </row>
    <row r="235" spans="2:20" s="154" customFormat="1" ht="27.75" customHeight="1">
      <c r="B235" s="153">
        <v>349</v>
      </c>
      <c r="C235" s="315" t="s">
        <v>313</v>
      </c>
      <c r="D235" s="315"/>
      <c r="E235" s="153">
        <v>200</v>
      </c>
      <c r="F235" s="153">
        <v>0.22</v>
      </c>
      <c r="G235" s="153"/>
      <c r="H235" s="153">
        <v>24.42</v>
      </c>
      <c r="I235" s="153">
        <v>98.56</v>
      </c>
      <c r="J235" s="153"/>
      <c r="K235" s="153"/>
      <c r="L235" s="153">
        <v>0.2</v>
      </c>
      <c r="M235" s="153"/>
      <c r="N235" s="153"/>
      <c r="O235" s="153">
        <v>22.6</v>
      </c>
      <c r="P235" s="153">
        <v>7.7</v>
      </c>
      <c r="Q235" s="153">
        <v>0</v>
      </c>
      <c r="R235" s="153">
        <v>0</v>
      </c>
      <c r="S235" s="153">
        <v>3</v>
      </c>
      <c r="T235" s="153">
        <v>0.66</v>
      </c>
    </row>
    <row r="236" spans="2:20" s="154" customFormat="1" ht="18" customHeight="1">
      <c r="B236" s="153" t="s">
        <v>270</v>
      </c>
      <c r="C236" s="315" t="s">
        <v>135</v>
      </c>
      <c r="D236" s="315"/>
      <c r="E236" s="153">
        <v>40</v>
      </c>
      <c r="F236" s="153">
        <v>2.64</v>
      </c>
      <c r="G236" s="153">
        <v>0.48</v>
      </c>
      <c r="H236" s="153">
        <v>13.68</v>
      </c>
      <c r="I236" s="153">
        <v>69.599999999999994</v>
      </c>
      <c r="J236" s="153">
        <v>0.08</v>
      </c>
      <c r="K236" s="153">
        <v>0.04</v>
      </c>
      <c r="L236" s="153">
        <v>0</v>
      </c>
      <c r="M236" s="153">
        <v>0</v>
      </c>
      <c r="N236" s="153">
        <v>2.4</v>
      </c>
      <c r="O236" s="153">
        <v>14</v>
      </c>
      <c r="P236" s="153">
        <v>63.2</v>
      </c>
      <c r="Q236" s="153">
        <v>1.2</v>
      </c>
      <c r="R236" s="153">
        <v>1E-3</v>
      </c>
      <c r="S236" s="153">
        <v>9.4</v>
      </c>
      <c r="T236" s="153">
        <v>0.78</v>
      </c>
    </row>
    <row r="237" spans="2:20" s="154" customFormat="1" ht="18" customHeight="1">
      <c r="B237" s="153" t="s">
        <v>270</v>
      </c>
      <c r="C237" s="315" t="s">
        <v>35</v>
      </c>
      <c r="D237" s="315"/>
      <c r="E237" s="153">
        <v>30</v>
      </c>
      <c r="F237" s="153">
        <v>1.52</v>
      </c>
      <c r="G237" s="153">
        <v>0.16</v>
      </c>
      <c r="H237" s="153">
        <v>9.84</v>
      </c>
      <c r="I237" s="153">
        <v>46.9</v>
      </c>
      <c r="J237" s="153">
        <v>0.02</v>
      </c>
      <c r="K237" s="153">
        <v>0.01</v>
      </c>
      <c r="L237" s="153">
        <v>0.44</v>
      </c>
      <c r="M237" s="153">
        <v>0</v>
      </c>
      <c r="N237" s="153">
        <v>0.7</v>
      </c>
      <c r="O237" s="153">
        <v>4</v>
      </c>
      <c r="P237" s="153">
        <v>13</v>
      </c>
      <c r="Q237" s="153">
        <v>8.0000000000000002E-3</v>
      </c>
      <c r="R237" s="153">
        <v>1E-3</v>
      </c>
      <c r="S237" s="153">
        <v>0</v>
      </c>
      <c r="T237" s="153">
        <v>0.22</v>
      </c>
    </row>
    <row r="238" spans="2:20" s="154" customFormat="1" ht="26.25" customHeight="1">
      <c r="B238" s="311" t="s">
        <v>271</v>
      </c>
      <c r="C238" s="311"/>
      <c r="D238" s="311"/>
      <c r="E238" s="164">
        <f>E231+E233+E234+E235+E236+E237+250+15</f>
        <v>915</v>
      </c>
      <c r="F238" s="164">
        <f>SUM(F231:F237)</f>
        <v>38.860000000000007</v>
      </c>
      <c r="G238" s="164">
        <f t="shared" ref="G238:T238" si="107">SUM(G231:G237)</f>
        <v>33.459999999999994</v>
      </c>
      <c r="H238" s="164">
        <f t="shared" si="107"/>
        <v>92.43</v>
      </c>
      <c r="I238" s="164">
        <f t="shared" si="107"/>
        <v>826.40000000000009</v>
      </c>
      <c r="J238" s="164">
        <f t="shared" si="107"/>
        <v>1.25</v>
      </c>
      <c r="K238" s="164">
        <f t="shared" si="107"/>
        <v>0.65000000000000013</v>
      </c>
      <c r="L238" s="164">
        <f t="shared" si="107"/>
        <v>19.382000000000001</v>
      </c>
      <c r="M238" s="164">
        <f t="shared" si="107"/>
        <v>1.1200000000000001</v>
      </c>
      <c r="N238" s="164">
        <f t="shared" si="107"/>
        <v>3.4889999999999999</v>
      </c>
      <c r="O238" s="164">
        <f t="shared" si="107"/>
        <v>227.20999999999998</v>
      </c>
      <c r="P238" s="164">
        <f t="shared" si="107"/>
        <v>286.39999999999998</v>
      </c>
      <c r="Q238" s="164">
        <f t="shared" si="107"/>
        <v>4.8380000000000001</v>
      </c>
      <c r="R238" s="164">
        <f t="shared" si="107"/>
        <v>2.0000000000000004E-2</v>
      </c>
      <c r="S238" s="164">
        <f t="shared" si="107"/>
        <v>104.33000000000001</v>
      </c>
      <c r="T238" s="164">
        <f t="shared" si="107"/>
        <v>7.16</v>
      </c>
    </row>
    <row r="239" spans="2:20" s="154" customFormat="1" ht="18" customHeight="1">
      <c r="B239" s="311" t="s">
        <v>265</v>
      </c>
      <c r="C239" s="311"/>
      <c r="D239" s="311"/>
      <c r="E239" s="311"/>
      <c r="F239" s="172">
        <f t="shared" ref="F239:T239" si="108">F238/F246</f>
        <v>0.43177777777777787</v>
      </c>
      <c r="G239" s="172">
        <f t="shared" si="108"/>
        <v>0.36369565217391298</v>
      </c>
      <c r="H239" s="172">
        <f t="shared" si="108"/>
        <v>0.24133159268929505</v>
      </c>
      <c r="I239" s="172">
        <f t="shared" si="108"/>
        <v>0.30382352941176471</v>
      </c>
      <c r="J239" s="172">
        <f t="shared" si="108"/>
        <v>0.8928571428571429</v>
      </c>
      <c r="K239" s="172">
        <f t="shared" si="108"/>
        <v>0.40625000000000006</v>
      </c>
      <c r="L239" s="172">
        <f t="shared" si="108"/>
        <v>0.27688571428571429</v>
      </c>
      <c r="M239" s="172">
        <f t="shared" si="108"/>
        <v>1.2444444444444445</v>
      </c>
      <c r="N239" s="172">
        <f t="shared" si="108"/>
        <v>0.29075000000000001</v>
      </c>
      <c r="O239" s="172">
        <f t="shared" si="108"/>
        <v>0.18934166666666666</v>
      </c>
      <c r="P239" s="172">
        <f t="shared" si="108"/>
        <v>0.23866666666666664</v>
      </c>
      <c r="Q239" s="172">
        <f t="shared" si="108"/>
        <v>0.34557142857142858</v>
      </c>
      <c r="R239" s="172">
        <f t="shared" si="108"/>
        <v>0.20000000000000004</v>
      </c>
      <c r="S239" s="172">
        <f t="shared" si="108"/>
        <v>0.34776666666666672</v>
      </c>
      <c r="T239" s="172">
        <f t="shared" si="108"/>
        <v>0.39777777777777779</v>
      </c>
    </row>
    <row r="240" spans="2:20" s="154" customFormat="1" ht="18" customHeight="1">
      <c r="B240" s="323" t="s">
        <v>272</v>
      </c>
      <c r="C240" s="323"/>
      <c r="D240" s="323"/>
      <c r="E240" s="323"/>
      <c r="F240" s="323"/>
      <c r="G240" s="323"/>
      <c r="H240" s="323"/>
      <c r="I240" s="323"/>
      <c r="J240" s="323"/>
      <c r="K240" s="323"/>
      <c r="L240" s="323"/>
      <c r="M240" s="323"/>
      <c r="N240" s="323"/>
      <c r="O240" s="323"/>
      <c r="P240" s="323"/>
      <c r="Q240" s="323"/>
      <c r="R240" s="323"/>
      <c r="S240" s="323"/>
      <c r="T240" s="323"/>
    </row>
    <row r="241" spans="2:20" s="154" customFormat="1" ht="18" customHeight="1">
      <c r="B241" s="153" t="s">
        <v>270</v>
      </c>
      <c r="C241" s="315" t="s">
        <v>400</v>
      </c>
      <c r="D241" s="315"/>
      <c r="E241" s="153">
        <v>100</v>
      </c>
      <c r="F241" s="153">
        <v>7.86</v>
      </c>
      <c r="G241" s="153">
        <v>5.57</v>
      </c>
      <c r="H241" s="153">
        <v>53.71</v>
      </c>
      <c r="I241" s="153">
        <v>297.14</v>
      </c>
      <c r="J241" s="153">
        <v>0.1</v>
      </c>
      <c r="K241" s="153">
        <v>0.04</v>
      </c>
      <c r="L241" s="153">
        <v>0</v>
      </c>
      <c r="M241" s="153">
        <v>0.1</v>
      </c>
      <c r="N241" s="153"/>
      <c r="O241" s="153">
        <v>16.170000000000002</v>
      </c>
      <c r="P241" s="153">
        <v>0</v>
      </c>
      <c r="Q241" s="153">
        <v>0</v>
      </c>
      <c r="R241" s="153">
        <v>0</v>
      </c>
      <c r="S241" s="153">
        <v>11.19</v>
      </c>
      <c r="T241" s="153">
        <v>0.9</v>
      </c>
    </row>
    <row r="242" spans="2:20" s="154" customFormat="1" ht="24" customHeight="1">
      <c r="B242" s="153">
        <v>349</v>
      </c>
      <c r="C242" s="315" t="s">
        <v>287</v>
      </c>
      <c r="D242" s="315"/>
      <c r="E242" s="153">
        <v>200</v>
      </c>
      <c r="F242" s="153">
        <v>0.22</v>
      </c>
      <c r="G242" s="153">
        <v>0</v>
      </c>
      <c r="H242" s="153">
        <v>24.42</v>
      </c>
      <c r="I242" s="153">
        <v>98.56</v>
      </c>
      <c r="J242" s="153"/>
      <c r="K242" s="153"/>
      <c r="L242" s="153">
        <v>0.2</v>
      </c>
      <c r="M242" s="153"/>
      <c r="N242" s="153"/>
      <c r="O242" s="153">
        <v>22.6</v>
      </c>
      <c r="P242" s="153">
        <v>7.7</v>
      </c>
      <c r="Q242" s="153">
        <v>0</v>
      </c>
      <c r="R242" s="153">
        <v>0</v>
      </c>
      <c r="S242" s="153">
        <v>3</v>
      </c>
      <c r="T242" s="153">
        <v>0.66</v>
      </c>
    </row>
    <row r="243" spans="2:20" s="154" customFormat="1" ht="18" customHeight="1">
      <c r="B243" s="312" t="s">
        <v>274</v>
      </c>
      <c r="C243" s="313"/>
      <c r="D243" s="314"/>
      <c r="E243" s="164">
        <f>E241+E242</f>
        <v>300</v>
      </c>
      <c r="F243" s="164">
        <f t="shared" ref="F243:T243" si="109">F241+F242</f>
        <v>8.08</v>
      </c>
      <c r="G243" s="164">
        <f t="shared" si="109"/>
        <v>5.57</v>
      </c>
      <c r="H243" s="164">
        <f t="shared" si="109"/>
        <v>78.13</v>
      </c>
      <c r="I243" s="164">
        <f t="shared" si="109"/>
        <v>395.7</v>
      </c>
      <c r="J243" s="164">
        <f t="shared" si="109"/>
        <v>0.1</v>
      </c>
      <c r="K243" s="164">
        <f t="shared" si="109"/>
        <v>0.04</v>
      </c>
      <c r="L243" s="164">
        <f t="shared" si="109"/>
        <v>0.2</v>
      </c>
      <c r="M243" s="164">
        <f t="shared" si="109"/>
        <v>0.1</v>
      </c>
      <c r="N243" s="164">
        <f t="shared" si="109"/>
        <v>0</v>
      </c>
      <c r="O243" s="164">
        <f t="shared" si="109"/>
        <v>38.770000000000003</v>
      </c>
      <c r="P243" s="164">
        <f t="shared" si="109"/>
        <v>7.7</v>
      </c>
      <c r="Q243" s="164">
        <f t="shared" si="109"/>
        <v>0</v>
      </c>
      <c r="R243" s="164">
        <f t="shared" si="109"/>
        <v>0</v>
      </c>
      <c r="S243" s="164">
        <f t="shared" si="109"/>
        <v>14.19</v>
      </c>
      <c r="T243" s="164">
        <f t="shared" si="109"/>
        <v>1.56</v>
      </c>
    </row>
    <row r="244" spans="2:20" s="154" customFormat="1" ht="18" customHeight="1">
      <c r="B244" s="311" t="s">
        <v>265</v>
      </c>
      <c r="C244" s="311"/>
      <c r="D244" s="311"/>
      <c r="E244" s="311"/>
      <c r="F244" s="172">
        <f>F243/F246</f>
        <v>8.9777777777777776E-2</v>
      </c>
      <c r="G244" s="172">
        <f t="shared" ref="G244:T244" si="110">G243/G246</f>
        <v>6.0543478260869567E-2</v>
      </c>
      <c r="H244" s="172">
        <f t="shared" si="110"/>
        <v>0.2039947780678851</v>
      </c>
      <c r="I244" s="172">
        <f t="shared" si="110"/>
        <v>0.14547794117647059</v>
      </c>
      <c r="J244" s="172">
        <f t="shared" si="110"/>
        <v>7.1428571428571438E-2</v>
      </c>
      <c r="K244" s="172">
        <f t="shared" si="110"/>
        <v>2.4999999999999998E-2</v>
      </c>
      <c r="L244" s="172">
        <f t="shared" si="110"/>
        <v>2.8571428571428571E-3</v>
      </c>
      <c r="M244" s="172">
        <f t="shared" si="110"/>
        <v>0.11111111111111112</v>
      </c>
      <c r="N244" s="172">
        <f t="shared" si="110"/>
        <v>0</v>
      </c>
      <c r="O244" s="172">
        <f t="shared" si="110"/>
        <v>3.2308333333333335E-2</v>
      </c>
      <c r="P244" s="172">
        <f t="shared" si="110"/>
        <v>6.4166666666666669E-3</v>
      </c>
      <c r="Q244" s="172">
        <f t="shared" si="110"/>
        <v>0</v>
      </c>
      <c r="R244" s="172">
        <f t="shared" si="110"/>
        <v>0</v>
      </c>
      <c r="S244" s="172">
        <f t="shared" si="110"/>
        <v>4.7300000000000002E-2</v>
      </c>
      <c r="T244" s="172">
        <f t="shared" si="110"/>
        <v>8.666666666666667E-2</v>
      </c>
    </row>
    <row r="245" spans="2:20" s="154" customFormat="1" ht="18" customHeight="1">
      <c r="B245" s="311" t="s">
        <v>275</v>
      </c>
      <c r="C245" s="311"/>
      <c r="D245" s="311"/>
      <c r="E245" s="311"/>
      <c r="F245" s="164">
        <f>F243+F238+F228</f>
        <v>66.710000000000008</v>
      </c>
      <c r="G245" s="164">
        <f t="shared" ref="G245:T245" si="111">G243+G238+G228</f>
        <v>58.069999999999993</v>
      </c>
      <c r="H245" s="164">
        <f t="shared" si="111"/>
        <v>247.96</v>
      </c>
      <c r="I245" s="164">
        <f t="shared" si="111"/>
        <v>1782.56</v>
      </c>
      <c r="J245" s="164">
        <f t="shared" si="111"/>
        <v>1.657</v>
      </c>
      <c r="K245" s="164">
        <f t="shared" si="111"/>
        <v>0.99000000000000021</v>
      </c>
      <c r="L245" s="164">
        <f t="shared" si="111"/>
        <v>37.251999999999995</v>
      </c>
      <c r="M245" s="164">
        <f t="shared" si="111"/>
        <v>1.2921000000000002</v>
      </c>
      <c r="N245" s="164">
        <f t="shared" si="111"/>
        <v>4.2889999999999997</v>
      </c>
      <c r="O245" s="164">
        <f t="shared" si="111"/>
        <v>474.56999999999994</v>
      </c>
      <c r="P245" s="164">
        <f t="shared" si="111"/>
        <v>700.27</v>
      </c>
      <c r="Q245" s="164">
        <f t="shared" si="111"/>
        <v>6.7279999999999998</v>
      </c>
      <c r="R245" s="164">
        <f t="shared" si="111"/>
        <v>0.12400000000000001</v>
      </c>
      <c r="S245" s="164">
        <f t="shared" si="111"/>
        <v>212.18</v>
      </c>
      <c r="T245" s="164">
        <f t="shared" si="111"/>
        <v>12.350000000000001</v>
      </c>
    </row>
    <row r="246" spans="2:20" s="154" customFormat="1" ht="18" customHeight="1">
      <c r="B246" s="311" t="s">
        <v>276</v>
      </c>
      <c r="C246" s="311"/>
      <c r="D246" s="311"/>
      <c r="E246" s="311"/>
      <c r="F246" s="153">
        <v>90</v>
      </c>
      <c r="G246" s="153">
        <v>92</v>
      </c>
      <c r="H246" s="153">
        <v>383</v>
      </c>
      <c r="I246" s="153">
        <v>2720</v>
      </c>
      <c r="J246" s="153">
        <v>1.4</v>
      </c>
      <c r="K246" s="153">
        <v>1.6</v>
      </c>
      <c r="L246" s="153">
        <v>70</v>
      </c>
      <c r="M246" s="153">
        <v>0.9</v>
      </c>
      <c r="N246" s="153">
        <v>12</v>
      </c>
      <c r="O246" s="153">
        <v>1200</v>
      </c>
      <c r="P246" s="153">
        <v>1200</v>
      </c>
      <c r="Q246" s="153">
        <v>14</v>
      </c>
      <c r="R246" s="153">
        <v>0.1</v>
      </c>
      <c r="S246" s="153">
        <v>300</v>
      </c>
      <c r="T246" s="153">
        <v>18</v>
      </c>
    </row>
    <row r="247" spans="2:20" s="154" customFormat="1" ht="18" customHeight="1">
      <c r="B247" s="311" t="s">
        <v>265</v>
      </c>
      <c r="C247" s="311"/>
      <c r="D247" s="311"/>
      <c r="E247" s="311"/>
      <c r="F247" s="172">
        <f>F245/F246</f>
        <v>0.74122222222222234</v>
      </c>
      <c r="G247" s="172">
        <f t="shared" ref="G247:T247" si="112">G245/G246</f>
        <v>0.63119565217391294</v>
      </c>
      <c r="H247" s="172">
        <f t="shared" si="112"/>
        <v>0.64741514360313313</v>
      </c>
      <c r="I247" s="172">
        <f t="shared" si="112"/>
        <v>0.65535294117647058</v>
      </c>
      <c r="J247" s="172">
        <f t="shared" si="112"/>
        <v>1.1835714285714287</v>
      </c>
      <c r="K247" s="172">
        <f t="shared" si="112"/>
        <v>0.61875000000000013</v>
      </c>
      <c r="L247" s="172">
        <f t="shared" si="112"/>
        <v>0.53217142857142852</v>
      </c>
      <c r="M247" s="172">
        <f t="shared" si="112"/>
        <v>1.4356666666666669</v>
      </c>
      <c r="N247" s="172">
        <f t="shared" si="112"/>
        <v>0.35741666666666666</v>
      </c>
      <c r="O247" s="172">
        <f t="shared" si="112"/>
        <v>0.39547499999999997</v>
      </c>
      <c r="P247" s="172">
        <f t="shared" si="112"/>
        <v>0.58355833333333329</v>
      </c>
      <c r="Q247" s="172">
        <f t="shared" si="112"/>
        <v>0.48057142857142854</v>
      </c>
      <c r="R247" s="172">
        <f t="shared" si="112"/>
        <v>1.24</v>
      </c>
      <c r="S247" s="172">
        <f t="shared" si="112"/>
        <v>0.70726666666666671</v>
      </c>
      <c r="T247" s="172">
        <f t="shared" si="112"/>
        <v>0.68611111111111123</v>
      </c>
    </row>
    <row r="248" spans="2:20" s="154" customFormat="1" ht="18" customHeight="1">
      <c r="B248" s="344" t="s">
        <v>289</v>
      </c>
      <c r="C248" s="344"/>
      <c r="D248" s="344"/>
      <c r="E248" s="344"/>
      <c r="F248" s="344"/>
      <c r="G248" s="344"/>
      <c r="H248" s="344"/>
      <c r="I248" s="344"/>
      <c r="J248" s="344"/>
      <c r="K248" s="153"/>
      <c r="L248" s="153"/>
      <c r="M248" s="324" t="s">
        <v>229</v>
      </c>
      <c r="N248" s="324"/>
      <c r="O248" s="324"/>
      <c r="P248" s="324"/>
      <c r="Q248" s="324"/>
      <c r="R248" s="324"/>
      <c r="S248" s="324"/>
      <c r="T248" s="324"/>
    </row>
    <row r="249" spans="2:20" s="154" customFormat="1" ht="18" customHeight="1">
      <c r="B249" s="153"/>
      <c r="C249" s="153"/>
      <c r="D249" s="164"/>
      <c r="E249" s="164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</row>
    <row r="250" spans="2:20" s="154" customFormat="1" ht="18" customHeight="1">
      <c r="B250" s="323" t="s">
        <v>310</v>
      </c>
      <c r="C250" s="323"/>
      <c r="D250" s="323"/>
      <c r="E250" s="323"/>
      <c r="F250" s="323"/>
      <c r="G250" s="323"/>
      <c r="H250" s="323"/>
      <c r="I250" s="323"/>
      <c r="J250" s="323"/>
      <c r="K250" s="323"/>
      <c r="L250" s="323"/>
      <c r="M250" s="323"/>
      <c r="N250" s="323"/>
      <c r="O250" s="323"/>
      <c r="P250" s="323"/>
      <c r="Q250" s="323"/>
      <c r="R250" s="323"/>
      <c r="S250" s="323"/>
      <c r="T250" s="323"/>
    </row>
    <row r="251" spans="2:20" s="154" customFormat="1" ht="18" customHeight="1">
      <c r="B251" s="311" t="s">
        <v>291</v>
      </c>
      <c r="C251" s="311"/>
      <c r="D251" s="153"/>
      <c r="E251" s="153"/>
      <c r="F251" s="153"/>
      <c r="G251" s="324" t="s">
        <v>292</v>
      </c>
      <c r="H251" s="324"/>
      <c r="I251" s="324"/>
      <c r="J251" s="153"/>
      <c r="K251" s="153"/>
      <c r="L251" s="311" t="s">
        <v>233</v>
      </c>
      <c r="M251" s="311"/>
      <c r="N251" s="324" t="s">
        <v>234</v>
      </c>
      <c r="O251" s="324"/>
      <c r="P251" s="324"/>
      <c r="Q251" s="324"/>
      <c r="R251" s="153"/>
      <c r="S251" s="153"/>
      <c r="T251" s="153"/>
    </row>
    <row r="252" spans="2:20" s="154" customFormat="1" ht="18" customHeight="1">
      <c r="B252" s="153"/>
      <c r="C252" s="153"/>
      <c r="D252" s="153"/>
      <c r="E252" s="323" t="s">
        <v>235</v>
      </c>
      <c r="F252" s="323"/>
      <c r="G252" s="153">
        <v>2</v>
      </c>
      <c r="H252" s="153"/>
      <c r="I252" s="153"/>
      <c r="J252" s="153"/>
      <c r="K252" s="153"/>
      <c r="L252" s="311" t="s">
        <v>236</v>
      </c>
      <c r="M252" s="311"/>
      <c r="N252" s="324" t="s">
        <v>320</v>
      </c>
      <c r="O252" s="324"/>
      <c r="P252" s="324"/>
      <c r="Q252" s="324"/>
      <c r="R252" s="324"/>
      <c r="S252" s="324"/>
      <c r="T252" s="324"/>
    </row>
    <row r="253" spans="2:20" s="154" customFormat="1" ht="18" customHeight="1">
      <c r="B253" s="166" t="s">
        <v>279</v>
      </c>
      <c r="C253" s="340" t="s">
        <v>239</v>
      </c>
      <c r="D253" s="340"/>
      <c r="E253" s="340" t="s">
        <v>240</v>
      </c>
      <c r="F253" s="340" t="s">
        <v>241</v>
      </c>
      <c r="G253" s="340"/>
      <c r="H253" s="340"/>
      <c r="I253" s="166" t="s">
        <v>242</v>
      </c>
      <c r="J253" s="340" t="s">
        <v>244</v>
      </c>
      <c r="K253" s="340"/>
      <c r="L253" s="340"/>
      <c r="M253" s="340"/>
      <c r="N253" s="340"/>
      <c r="O253" s="340" t="s">
        <v>245</v>
      </c>
      <c r="P253" s="340"/>
      <c r="Q253" s="340"/>
      <c r="R253" s="340"/>
      <c r="S253" s="340"/>
      <c r="T253" s="340"/>
    </row>
    <row r="254" spans="2:20" s="154" customFormat="1" ht="18" customHeight="1">
      <c r="B254" s="166" t="s">
        <v>280</v>
      </c>
      <c r="C254" s="340"/>
      <c r="D254" s="340"/>
      <c r="E254" s="340"/>
      <c r="F254" s="166" t="s">
        <v>246</v>
      </c>
      <c r="G254" s="166" t="s">
        <v>247</v>
      </c>
      <c r="H254" s="166" t="s">
        <v>248</v>
      </c>
      <c r="I254" s="166" t="s">
        <v>243</v>
      </c>
      <c r="J254" s="166" t="s">
        <v>249</v>
      </c>
      <c r="K254" s="166" t="s">
        <v>250</v>
      </c>
      <c r="L254" s="166" t="s">
        <v>251</v>
      </c>
      <c r="M254" s="166" t="s">
        <v>252</v>
      </c>
      <c r="N254" s="166" t="s">
        <v>253</v>
      </c>
      <c r="O254" s="166" t="s">
        <v>254</v>
      </c>
      <c r="P254" s="166" t="s">
        <v>255</v>
      </c>
      <c r="Q254" s="166" t="s">
        <v>256</v>
      </c>
      <c r="R254" s="166" t="s">
        <v>257</v>
      </c>
      <c r="S254" s="166" t="s">
        <v>258</v>
      </c>
      <c r="T254" s="166" t="s">
        <v>259</v>
      </c>
    </row>
    <row r="255" spans="2:20" s="154" customFormat="1" ht="18" customHeight="1">
      <c r="B255" s="167">
        <v>1</v>
      </c>
      <c r="C255" s="325">
        <v>2</v>
      </c>
      <c r="D255" s="325"/>
      <c r="E255" s="167">
        <v>3</v>
      </c>
      <c r="F255" s="167">
        <v>4</v>
      </c>
      <c r="G255" s="167">
        <v>5</v>
      </c>
      <c r="H255" s="167">
        <v>6</v>
      </c>
      <c r="I255" s="167">
        <v>7</v>
      </c>
      <c r="J255" s="167">
        <v>8</v>
      </c>
      <c r="K255" s="167">
        <v>9</v>
      </c>
      <c r="L255" s="167">
        <v>10</v>
      </c>
      <c r="M255" s="167">
        <v>11</v>
      </c>
      <c r="N255" s="167">
        <v>12</v>
      </c>
      <c r="O255" s="167">
        <v>13</v>
      </c>
      <c r="P255" s="167">
        <v>14</v>
      </c>
      <c r="Q255" s="167">
        <v>15</v>
      </c>
      <c r="R255" s="167">
        <v>16</v>
      </c>
      <c r="S255" s="167">
        <v>17</v>
      </c>
      <c r="T255" s="167">
        <v>18</v>
      </c>
    </row>
    <row r="256" spans="2:20" s="154" customFormat="1" ht="18" customHeight="1">
      <c r="B256" s="323" t="s">
        <v>260</v>
      </c>
      <c r="C256" s="323"/>
      <c r="D256" s="323"/>
      <c r="E256" s="323"/>
      <c r="F256" s="323"/>
      <c r="G256" s="323"/>
      <c r="H256" s="323"/>
      <c r="I256" s="323"/>
      <c r="J256" s="323"/>
      <c r="K256" s="323"/>
      <c r="L256" s="323"/>
      <c r="M256" s="323"/>
      <c r="N256" s="323"/>
      <c r="O256" s="323"/>
      <c r="P256" s="323"/>
      <c r="Q256" s="323"/>
      <c r="R256" s="323"/>
      <c r="S256" s="323"/>
      <c r="T256" s="323"/>
    </row>
    <row r="257" spans="2:20" s="154" customFormat="1" ht="18" customHeight="1">
      <c r="B257" s="153">
        <v>338</v>
      </c>
      <c r="C257" s="315" t="s">
        <v>416</v>
      </c>
      <c r="D257" s="315"/>
      <c r="E257" s="153">
        <v>100</v>
      </c>
      <c r="F257" s="153">
        <v>0.4</v>
      </c>
      <c r="G257" s="153">
        <v>0.4</v>
      </c>
      <c r="H257" s="153">
        <v>9.8000000000000007</v>
      </c>
      <c r="I257" s="153">
        <v>44.4</v>
      </c>
      <c r="J257" s="153">
        <v>0.04</v>
      </c>
      <c r="K257" s="153">
        <v>0.02</v>
      </c>
      <c r="L257" s="153">
        <v>10</v>
      </c>
      <c r="M257" s="153">
        <v>0</v>
      </c>
      <c r="N257" s="153">
        <v>0.2</v>
      </c>
      <c r="O257" s="153">
        <v>16</v>
      </c>
      <c r="P257" s="153">
        <v>11</v>
      </c>
      <c r="Q257" s="153">
        <v>0</v>
      </c>
      <c r="R257" s="153">
        <v>0</v>
      </c>
      <c r="S257" s="153">
        <v>9</v>
      </c>
      <c r="T257" s="153">
        <v>2.2000000000000002</v>
      </c>
    </row>
    <row r="258" spans="2:20" s="154" customFormat="1" ht="18" customHeight="1">
      <c r="B258" s="143" t="s">
        <v>327</v>
      </c>
      <c r="C258" s="326" t="s">
        <v>328</v>
      </c>
      <c r="D258" s="326"/>
      <c r="E258" s="146">
        <v>30</v>
      </c>
      <c r="F258" s="146">
        <v>0.15</v>
      </c>
      <c r="G258" s="146">
        <v>0</v>
      </c>
      <c r="H258" s="146">
        <v>17.850000000000001</v>
      </c>
      <c r="I258" s="146">
        <v>71.7</v>
      </c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</row>
    <row r="259" spans="2:20" s="154" customFormat="1" ht="27.75" customHeight="1">
      <c r="B259" s="153">
        <v>222</v>
      </c>
      <c r="C259" s="315" t="s">
        <v>110</v>
      </c>
      <c r="D259" s="315"/>
      <c r="E259" s="153">
        <v>200</v>
      </c>
      <c r="F259" s="153">
        <v>17.920000000000002</v>
      </c>
      <c r="G259" s="153">
        <v>20.6</v>
      </c>
      <c r="H259" s="153">
        <v>43.2</v>
      </c>
      <c r="I259" s="153">
        <v>429.51</v>
      </c>
      <c r="J259" s="153">
        <v>0.11</v>
      </c>
      <c r="K259" s="153">
        <v>0.4</v>
      </c>
      <c r="L259" s="153">
        <v>0.56000000000000005</v>
      </c>
      <c r="M259" s="153">
        <v>0.26</v>
      </c>
      <c r="N259" s="153">
        <v>1.8</v>
      </c>
      <c r="O259" s="153">
        <v>169</v>
      </c>
      <c r="P259" s="153">
        <v>341.9</v>
      </c>
      <c r="Q259" s="153">
        <v>2.2000000000000002</v>
      </c>
      <c r="R259" s="153">
        <v>8.0000000000000002E-3</v>
      </c>
      <c r="S259" s="153">
        <v>57.07</v>
      </c>
      <c r="T259" s="153">
        <v>1.54</v>
      </c>
    </row>
    <row r="260" spans="2:20" s="154" customFormat="1" ht="18" customHeight="1">
      <c r="B260" s="146">
        <v>376</v>
      </c>
      <c r="C260" s="316" t="s">
        <v>57</v>
      </c>
      <c r="D260" s="316"/>
      <c r="E260" s="146">
        <v>200</v>
      </c>
      <c r="F260" s="146">
        <v>0.2</v>
      </c>
      <c r="G260" s="146">
        <v>0.05</v>
      </c>
      <c r="H260" s="146">
        <v>15.01</v>
      </c>
      <c r="I260" s="146">
        <v>61</v>
      </c>
      <c r="J260" s="146">
        <v>0</v>
      </c>
      <c r="K260" s="146">
        <v>0.01</v>
      </c>
      <c r="L260" s="146">
        <v>9</v>
      </c>
      <c r="M260" s="146">
        <v>1E-4</v>
      </c>
      <c r="N260" s="146">
        <v>4.4999999999999998E-2</v>
      </c>
      <c r="O260" s="146">
        <v>5.25</v>
      </c>
      <c r="P260" s="146">
        <v>8.24</v>
      </c>
      <c r="Q260" s="146">
        <v>8.0000000000000002E-3</v>
      </c>
      <c r="R260" s="146">
        <v>0</v>
      </c>
      <c r="S260" s="146">
        <v>4.4000000000000004</v>
      </c>
      <c r="T260" s="146">
        <v>0.87</v>
      </c>
    </row>
    <row r="261" spans="2:20" s="154" customFormat="1" ht="18" customHeight="1">
      <c r="B261" s="153" t="s">
        <v>270</v>
      </c>
      <c r="C261" s="315" t="s">
        <v>326</v>
      </c>
      <c r="D261" s="315"/>
      <c r="E261" s="153">
        <v>40</v>
      </c>
      <c r="F261" s="153">
        <v>2.67</v>
      </c>
      <c r="G261" s="153">
        <v>0.53</v>
      </c>
      <c r="H261" s="153">
        <v>13.73</v>
      </c>
      <c r="I261" s="153">
        <v>70.400000000000006</v>
      </c>
      <c r="J261" s="153">
        <v>0.13</v>
      </c>
      <c r="K261" s="153">
        <v>1.2999999999999999E-2</v>
      </c>
      <c r="L261" s="153">
        <v>0.1</v>
      </c>
      <c r="M261" s="153">
        <v>0</v>
      </c>
      <c r="N261" s="153">
        <v>0.93</v>
      </c>
      <c r="O261" s="153">
        <v>14</v>
      </c>
      <c r="P261" s="153">
        <v>63.2</v>
      </c>
      <c r="Q261" s="153">
        <v>1.2999999999999999E-2</v>
      </c>
      <c r="R261" s="153">
        <v>1.2999999999999999E-2</v>
      </c>
      <c r="S261" s="153">
        <v>18.8</v>
      </c>
      <c r="T261" s="153">
        <v>1.6</v>
      </c>
    </row>
    <row r="262" spans="2:20" s="154" customFormat="1" ht="18" customHeight="1">
      <c r="B262" s="311" t="s">
        <v>264</v>
      </c>
      <c r="C262" s="311"/>
      <c r="D262" s="311"/>
      <c r="E262" s="164">
        <f>SUM(E257:E261)</f>
        <v>570</v>
      </c>
      <c r="F262" s="164">
        <f t="shared" ref="F262:T262" si="113">SUM(F257:F261)</f>
        <v>21.340000000000003</v>
      </c>
      <c r="G262" s="164">
        <f t="shared" si="113"/>
        <v>21.580000000000002</v>
      </c>
      <c r="H262" s="164">
        <f t="shared" si="113"/>
        <v>99.590000000000018</v>
      </c>
      <c r="I262" s="164">
        <f t="shared" si="113"/>
        <v>677.01</v>
      </c>
      <c r="J262" s="164">
        <f t="shared" si="113"/>
        <v>0.28000000000000003</v>
      </c>
      <c r="K262" s="164">
        <f t="shared" si="113"/>
        <v>0.44300000000000006</v>
      </c>
      <c r="L262" s="164">
        <f t="shared" si="113"/>
        <v>19.660000000000004</v>
      </c>
      <c r="M262" s="164">
        <f t="shared" si="113"/>
        <v>0.2601</v>
      </c>
      <c r="N262" s="164">
        <f t="shared" si="113"/>
        <v>2.9750000000000001</v>
      </c>
      <c r="O262" s="164">
        <f t="shared" si="113"/>
        <v>204.25</v>
      </c>
      <c r="P262" s="164">
        <f t="shared" si="113"/>
        <v>424.34</v>
      </c>
      <c r="Q262" s="164">
        <f t="shared" si="113"/>
        <v>2.2210000000000001</v>
      </c>
      <c r="R262" s="164">
        <f t="shared" si="113"/>
        <v>2.0999999999999998E-2</v>
      </c>
      <c r="S262" s="164">
        <f t="shared" si="113"/>
        <v>89.27</v>
      </c>
      <c r="T262" s="164">
        <f t="shared" si="113"/>
        <v>6.2100000000000009</v>
      </c>
    </row>
    <row r="263" spans="2:20" s="154" customFormat="1" ht="18" customHeight="1">
      <c r="B263" s="311" t="s">
        <v>265</v>
      </c>
      <c r="C263" s="311"/>
      <c r="D263" s="311"/>
      <c r="E263" s="311"/>
      <c r="F263" s="172">
        <f t="shared" ref="F263:T263" si="114">F262/F280</f>
        <v>0.23711111111111116</v>
      </c>
      <c r="G263" s="172">
        <f t="shared" si="114"/>
        <v>0.23456521739130437</v>
      </c>
      <c r="H263" s="172">
        <f t="shared" si="114"/>
        <v>0.26002610966057443</v>
      </c>
      <c r="I263" s="172">
        <f t="shared" si="114"/>
        <v>0.24890073529411763</v>
      </c>
      <c r="J263" s="172">
        <f t="shared" si="114"/>
        <v>0.20000000000000004</v>
      </c>
      <c r="K263" s="172">
        <f t="shared" si="114"/>
        <v>0.27687500000000004</v>
      </c>
      <c r="L263" s="172">
        <f t="shared" si="114"/>
        <v>0.28085714285714292</v>
      </c>
      <c r="M263" s="172">
        <f t="shared" si="114"/>
        <v>0.28899999999999998</v>
      </c>
      <c r="N263" s="172">
        <f t="shared" si="114"/>
        <v>0.24791666666666667</v>
      </c>
      <c r="O263" s="172">
        <f t="shared" si="114"/>
        <v>0.17020833333333332</v>
      </c>
      <c r="P263" s="172">
        <f t="shared" si="114"/>
        <v>0.35361666666666663</v>
      </c>
      <c r="Q263" s="172">
        <f t="shared" si="114"/>
        <v>0.15864285714285714</v>
      </c>
      <c r="R263" s="172">
        <f t="shared" si="114"/>
        <v>0.20999999999999996</v>
      </c>
      <c r="S263" s="172">
        <f t="shared" si="114"/>
        <v>0.29756666666666665</v>
      </c>
      <c r="T263" s="172">
        <f t="shared" si="114"/>
        <v>0.34500000000000003</v>
      </c>
    </row>
    <row r="264" spans="2:20" s="154" customFormat="1" ht="18" customHeight="1">
      <c r="B264" s="323" t="s">
        <v>266</v>
      </c>
      <c r="C264" s="323"/>
      <c r="D264" s="323"/>
      <c r="E264" s="323"/>
      <c r="F264" s="323"/>
      <c r="G264" s="323"/>
      <c r="H264" s="323"/>
      <c r="I264" s="323"/>
      <c r="J264" s="323"/>
      <c r="K264" s="323"/>
      <c r="L264" s="323"/>
      <c r="M264" s="323"/>
      <c r="N264" s="323"/>
      <c r="O264" s="323"/>
      <c r="P264" s="323"/>
      <c r="Q264" s="323"/>
      <c r="R264" s="323"/>
      <c r="S264" s="323"/>
      <c r="T264" s="323"/>
    </row>
    <row r="265" spans="2:20" s="162" customFormat="1" ht="18" customHeight="1">
      <c r="B265" s="146" t="s">
        <v>346</v>
      </c>
      <c r="C265" s="316" t="s">
        <v>323</v>
      </c>
      <c r="D265" s="316"/>
      <c r="E265" s="153">
        <v>100</v>
      </c>
      <c r="F265" s="153">
        <v>1.27</v>
      </c>
      <c r="G265" s="153">
        <v>2.88</v>
      </c>
      <c r="H265" s="153">
        <v>7.1</v>
      </c>
      <c r="I265" s="153">
        <v>56.95</v>
      </c>
      <c r="J265" s="153">
        <v>0.05</v>
      </c>
      <c r="K265" s="153">
        <v>0</v>
      </c>
      <c r="L265" s="153">
        <v>4.0199999999999996</v>
      </c>
      <c r="M265" s="153">
        <v>0.05</v>
      </c>
      <c r="N265" s="153"/>
      <c r="O265" s="153">
        <v>30.82</v>
      </c>
      <c r="P265" s="153">
        <v>52.26</v>
      </c>
      <c r="Q265" s="153"/>
      <c r="R265" s="153">
        <v>0</v>
      </c>
      <c r="S265" s="153">
        <v>34.17</v>
      </c>
      <c r="T265" s="153">
        <v>0.06</v>
      </c>
    </row>
    <row r="266" spans="2:20" s="154" customFormat="1" ht="18" customHeight="1">
      <c r="B266" s="153">
        <v>71</v>
      </c>
      <c r="C266" s="315" t="s">
        <v>224</v>
      </c>
      <c r="D266" s="315"/>
      <c r="E266" s="153">
        <v>100</v>
      </c>
      <c r="F266" s="153">
        <v>1</v>
      </c>
      <c r="G266" s="153">
        <v>4.5</v>
      </c>
      <c r="H266" s="153">
        <v>14.5</v>
      </c>
      <c r="I266" s="153">
        <v>100</v>
      </c>
      <c r="J266" s="153">
        <v>0.02</v>
      </c>
      <c r="K266" s="153">
        <v>0.03</v>
      </c>
      <c r="L266" s="153">
        <v>3.83</v>
      </c>
      <c r="M266" s="153">
        <v>0.02</v>
      </c>
      <c r="N266" s="153"/>
      <c r="O266" s="153">
        <v>20.48</v>
      </c>
      <c r="P266" s="153">
        <v>0</v>
      </c>
      <c r="Q266" s="153"/>
      <c r="R266" s="153">
        <v>0</v>
      </c>
      <c r="S266" s="153">
        <v>11.7</v>
      </c>
      <c r="T266" s="153">
        <v>0.53</v>
      </c>
    </row>
    <row r="267" spans="2:20" s="154" customFormat="1" ht="17.25" customHeight="1">
      <c r="B267" s="153" t="s">
        <v>344</v>
      </c>
      <c r="C267" s="335" t="s">
        <v>222</v>
      </c>
      <c r="D267" s="336"/>
      <c r="E267" s="153">
        <v>250</v>
      </c>
      <c r="F267" s="153">
        <v>2.63</v>
      </c>
      <c r="G267" s="153">
        <v>2.63</v>
      </c>
      <c r="H267" s="153">
        <v>19.38</v>
      </c>
      <c r="I267" s="153">
        <v>112.5</v>
      </c>
      <c r="J267" s="153">
        <v>0.1</v>
      </c>
      <c r="K267" s="153">
        <v>0.05</v>
      </c>
      <c r="L267" s="153">
        <v>7</v>
      </c>
      <c r="M267" s="153">
        <v>0.1</v>
      </c>
      <c r="N267" s="153"/>
      <c r="O267" s="153">
        <v>15.8</v>
      </c>
      <c r="P267" s="153">
        <v>0</v>
      </c>
      <c r="Q267" s="153"/>
      <c r="R267" s="153">
        <v>0</v>
      </c>
      <c r="S267" s="153">
        <v>24</v>
      </c>
      <c r="T267" s="153">
        <v>0.9</v>
      </c>
    </row>
    <row r="268" spans="2:20" s="154" customFormat="1" ht="18" customHeight="1">
      <c r="B268" s="153">
        <v>259</v>
      </c>
      <c r="C268" s="315" t="s">
        <v>315</v>
      </c>
      <c r="D268" s="315"/>
      <c r="E268" s="153">
        <v>280</v>
      </c>
      <c r="F268" s="153">
        <v>20</v>
      </c>
      <c r="G268" s="153">
        <v>21.01</v>
      </c>
      <c r="H268" s="153">
        <v>35.71</v>
      </c>
      <c r="I268" s="153">
        <v>411.9</v>
      </c>
      <c r="J268" s="153">
        <v>0.31</v>
      </c>
      <c r="K268" s="153">
        <v>0.28000000000000003</v>
      </c>
      <c r="L268" s="153">
        <v>43.82</v>
      </c>
      <c r="M268" s="153">
        <v>7.0000000000000007E-2</v>
      </c>
      <c r="N268" s="153">
        <v>0.42</v>
      </c>
      <c r="O268" s="153">
        <v>59.08</v>
      </c>
      <c r="P268" s="153">
        <v>305.5</v>
      </c>
      <c r="Q268" s="153">
        <v>4.2</v>
      </c>
      <c r="R268" s="153">
        <v>2E-3</v>
      </c>
      <c r="S268" s="153">
        <v>78.22</v>
      </c>
      <c r="T268" s="153">
        <v>4.6500000000000004</v>
      </c>
    </row>
    <row r="269" spans="2:20" s="154" customFormat="1" ht="18" customHeight="1">
      <c r="B269" s="153">
        <v>377</v>
      </c>
      <c r="C269" s="315" t="s">
        <v>70</v>
      </c>
      <c r="D269" s="315"/>
      <c r="E269" s="153" t="s">
        <v>269</v>
      </c>
      <c r="F269" s="153">
        <v>0.26</v>
      </c>
      <c r="G269" s="153">
        <v>0.06</v>
      </c>
      <c r="H269" s="153">
        <v>15.22</v>
      </c>
      <c r="I269" s="153">
        <v>62.5</v>
      </c>
      <c r="J269" s="153"/>
      <c r="K269" s="153">
        <v>0.01</v>
      </c>
      <c r="L269" s="153">
        <v>2.9</v>
      </c>
      <c r="M269" s="153">
        <v>0</v>
      </c>
      <c r="N269" s="153">
        <v>0.06</v>
      </c>
      <c r="O269" s="153">
        <v>8.0500000000000007</v>
      </c>
      <c r="P269" s="153">
        <v>9.7799999999999994</v>
      </c>
      <c r="Q269" s="153">
        <v>1.7000000000000001E-2</v>
      </c>
      <c r="R269" s="153">
        <v>0</v>
      </c>
      <c r="S269" s="153">
        <v>5.24</v>
      </c>
      <c r="T269" s="153">
        <v>0.87</v>
      </c>
    </row>
    <row r="270" spans="2:20" s="154" customFormat="1" ht="18" customHeight="1">
      <c r="B270" s="153" t="s">
        <v>270</v>
      </c>
      <c r="C270" s="315" t="s">
        <v>135</v>
      </c>
      <c r="D270" s="315"/>
      <c r="E270" s="153">
        <v>40</v>
      </c>
      <c r="F270" s="153">
        <v>2.64</v>
      </c>
      <c r="G270" s="153">
        <v>0.48</v>
      </c>
      <c r="H270" s="153">
        <v>13.68</v>
      </c>
      <c r="I270" s="153">
        <v>69.599999999999994</v>
      </c>
      <c r="J270" s="153">
        <v>0.08</v>
      </c>
      <c r="K270" s="153">
        <v>0.04</v>
      </c>
      <c r="L270" s="153">
        <v>0</v>
      </c>
      <c r="M270" s="153">
        <v>0</v>
      </c>
      <c r="N270" s="153">
        <v>2.4</v>
      </c>
      <c r="O270" s="153">
        <v>14</v>
      </c>
      <c r="P270" s="153">
        <v>63.2</v>
      </c>
      <c r="Q270" s="153">
        <v>1.2</v>
      </c>
      <c r="R270" s="153">
        <v>1E-3</v>
      </c>
      <c r="S270" s="153">
        <v>9.4</v>
      </c>
      <c r="T270" s="153">
        <v>0.78</v>
      </c>
    </row>
    <row r="271" spans="2:20" s="154" customFormat="1" ht="18" customHeight="1">
      <c r="B271" s="153" t="s">
        <v>270</v>
      </c>
      <c r="C271" s="315" t="s">
        <v>35</v>
      </c>
      <c r="D271" s="315"/>
      <c r="E271" s="153">
        <v>30</v>
      </c>
      <c r="F271" s="153">
        <v>1.52</v>
      </c>
      <c r="G271" s="153">
        <v>0.16</v>
      </c>
      <c r="H271" s="153">
        <v>9.84</v>
      </c>
      <c r="I271" s="153">
        <v>46.9</v>
      </c>
      <c r="J271" s="153">
        <v>0.02</v>
      </c>
      <c r="K271" s="153">
        <v>0.01</v>
      </c>
      <c r="L271" s="153">
        <v>0.44</v>
      </c>
      <c r="M271" s="153">
        <v>0</v>
      </c>
      <c r="N271" s="153">
        <v>0.7</v>
      </c>
      <c r="O271" s="153">
        <v>4</v>
      </c>
      <c r="P271" s="153">
        <v>13</v>
      </c>
      <c r="Q271" s="153">
        <v>8.0000000000000002E-3</v>
      </c>
      <c r="R271" s="153">
        <v>1E-3</v>
      </c>
      <c r="S271" s="153">
        <v>0</v>
      </c>
      <c r="T271" s="153">
        <v>0.22</v>
      </c>
    </row>
    <row r="272" spans="2:20" s="154" customFormat="1" ht="25.5" customHeight="1">
      <c r="B272" s="311" t="s">
        <v>271</v>
      </c>
      <c r="C272" s="311"/>
      <c r="D272" s="311"/>
      <c r="E272" s="164">
        <f>E266+E267+E268+E270+E271+204</f>
        <v>904</v>
      </c>
      <c r="F272" s="164">
        <f>SUM(F266:F271)</f>
        <v>28.05</v>
      </c>
      <c r="G272" s="164">
        <f t="shared" ref="G272:T272" si="115">SUM(G266:G271)</f>
        <v>28.84</v>
      </c>
      <c r="H272" s="164">
        <f t="shared" si="115"/>
        <v>108.33000000000001</v>
      </c>
      <c r="I272" s="164">
        <f t="shared" si="115"/>
        <v>803.4</v>
      </c>
      <c r="J272" s="164">
        <f t="shared" si="115"/>
        <v>0.53</v>
      </c>
      <c r="K272" s="164">
        <f t="shared" si="115"/>
        <v>0.42000000000000004</v>
      </c>
      <c r="L272" s="164">
        <f t="shared" si="115"/>
        <v>57.989999999999995</v>
      </c>
      <c r="M272" s="164">
        <f t="shared" si="115"/>
        <v>0.19</v>
      </c>
      <c r="N272" s="164">
        <f t="shared" si="115"/>
        <v>3.58</v>
      </c>
      <c r="O272" s="164">
        <f t="shared" si="115"/>
        <v>121.41</v>
      </c>
      <c r="P272" s="164">
        <f t="shared" si="115"/>
        <v>391.47999999999996</v>
      </c>
      <c r="Q272" s="164">
        <f t="shared" si="115"/>
        <v>5.4250000000000007</v>
      </c>
      <c r="R272" s="164">
        <f t="shared" si="115"/>
        <v>4.0000000000000001E-3</v>
      </c>
      <c r="S272" s="164">
        <f t="shared" si="115"/>
        <v>128.56</v>
      </c>
      <c r="T272" s="164">
        <f t="shared" si="115"/>
        <v>7.95</v>
      </c>
    </row>
    <row r="273" spans="2:20" s="154" customFormat="1" ht="18" customHeight="1">
      <c r="B273" s="311" t="s">
        <v>265</v>
      </c>
      <c r="C273" s="311"/>
      <c r="D273" s="311"/>
      <c r="E273" s="311"/>
      <c r="F273" s="172">
        <f t="shared" ref="F273:T273" si="116">F272/F280</f>
        <v>0.31166666666666665</v>
      </c>
      <c r="G273" s="172">
        <f t="shared" si="116"/>
        <v>0.31347826086956521</v>
      </c>
      <c r="H273" s="172">
        <f t="shared" si="116"/>
        <v>0.28284595300261101</v>
      </c>
      <c r="I273" s="172">
        <f t="shared" si="116"/>
        <v>0.29536764705882351</v>
      </c>
      <c r="J273" s="172">
        <f t="shared" si="116"/>
        <v>0.37857142857142861</v>
      </c>
      <c r="K273" s="172">
        <f t="shared" si="116"/>
        <v>0.26250000000000001</v>
      </c>
      <c r="L273" s="172">
        <f t="shared" si="116"/>
        <v>0.8284285714285714</v>
      </c>
      <c r="M273" s="172">
        <f t="shared" si="116"/>
        <v>0.21111111111111111</v>
      </c>
      <c r="N273" s="172">
        <f t="shared" si="116"/>
        <v>0.29833333333333334</v>
      </c>
      <c r="O273" s="172">
        <f t="shared" si="116"/>
        <v>0.101175</v>
      </c>
      <c r="P273" s="172">
        <f t="shared" si="116"/>
        <v>0.32623333333333332</v>
      </c>
      <c r="Q273" s="172">
        <f t="shared" si="116"/>
        <v>0.38750000000000007</v>
      </c>
      <c r="R273" s="172">
        <f t="shared" si="116"/>
        <v>0.04</v>
      </c>
      <c r="S273" s="172">
        <f t="shared" si="116"/>
        <v>0.42853333333333332</v>
      </c>
      <c r="T273" s="172">
        <f t="shared" si="116"/>
        <v>0.44166666666666665</v>
      </c>
    </row>
    <row r="274" spans="2:20" s="154" customFormat="1" ht="18" customHeight="1">
      <c r="B274" s="323" t="s">
        <v>272</v>
      </c>
      <c r="C274" s="323"/>
      <c r="D274" s="323"/>
      <c r="E274" s="323"/>
      <c r="F274" s="323"/>
      <c r="G274" s="323"/>
      <c r="H274" s="323"/>
      <c r="I274" s="323"/>
      <c r="J274" s="323"/>
      <c r="K274" s="323"/>
      <c r="L274" s="323"/>
      <c r="M274" s="323"/>
      <c r="N274" s="323"/>
      <c r="O274" s="323"/>
      <c r="P274" s="323"/>
      <c r="Q274" s="323"/>
      <c r="R274" s="323"/>
      <c r="S274" s="323"/>
      <c r="T274" s="323"/>
    </row>
    <row r="275" spans="2:20" s="154" customFormat="1" ht="18" customHeight="1">
      <c r="B275" s="153" t="s">
        <v>270</v>
      </c>
      <c r="C275" s="315" t="s">
        <v>403</v>
      </c>
      <c r="D275" s="315"/>
      <c r="E275" s="153">
        <v>100</v>
      </c>
      <c r="F275" s="153">
        <v>13.08</v>
      </c>
      <c r="G275" s="153">
        <v>6.06</v>
      </c>
      <c r="H275" s="153">
        <v>49.58</v>
      </c>
      <c r="I275" s="153">
        <v>306</v>
      </c>
      <c r="J275" s="153">
        <v>0.14000000000000001</v>
      </c>
      <c r="K275" s="153">
        <v>0.18</v>
      </c>
      <c r="L275" s="153">
        <v>0.18</v>
      </c>
      <c r="M275" s="153">
        <v>0.14000000000000001</v>
      </c>
      <c r="N275" s="153"/>
      <c r="O275" s="153">
        <v>75.8</v>
      </c>
      <c r="P275" s="153">
        <v>140</v>
      </c>
      <c r="Q275" s="153"/>
      <c r="R275" s="153">
        <v>0</v>
      </c>
      <c r="S275" s="153">
        <v>34.6</v>
      </c>
      <c r="T275" s="153">
        <v>1.52</v>
      </c>
    </row>
    <row r="276" spans="2:20" s="154" customFormat="1" ht="25.5" customHeight="1">
      <c r="B276" s="153">
        <v>349</v>
      </c>
      <c r="C276" s="315" t="s">
        <v>287</v>
      </c>
      <c r="D276" s="315"/>
      <c r="E276" s="153">
        <v>200</v>
      </c>
      <c r="F276" s="153">
        <v>0.22</v>
      </c>
      <c r="G276" s="153">
        <v>0</v>
      </c>
      <c r="H276" s="153">
        <v>24.42</v>
      </c>
      <c r="I276" s="153">
        <v>98.56</v>
      </c>
      <c r="J276" s="153"/>
      <c r="K276" s="153"/>
      <c r="L276" s="153">
        <v>0.2</v>
      </c>
      <c r="M276" s="153"/>
      <c r="N276" s="153"/>
      <c r="O276" s="153">
        <v>22.6</v>
      </c>
      <c r="P276" s="153">
        <v>7.7</v>
      </c>
      <c r="Q276" s="153">
        <v>0</v>
      </c>
      <c r="R276" s="153">
        <v>0</v>
      </c>
      <c r="S276" s="153">
        <v>3</v>
      </c>
      <c r="T276" s="153">
        <v>0.66</v>
      </c>
    </row>
    <row r="277" spans="2:20" s="154" customFormat="1" ht="18" customHeight="1">
      <c r="B277" s="312" t="s">
        <v>274</v>
      </c>
      <c r="C277" s="313"/>
      <c r="D277" s="314"/>
      <c r="E277" s="164">
        <f>SUM(E275:E276)</f>
        <v>300</v>
      </c>
      <c r="F277" s="164">
        <f t="shared" ref="F277:T277" si="117">SUM(F275:F276)</f>
        <v>13.3</v>
      </c>
      <c r="G277" s="164">
        <f t="shared" si="117"/>
        <v>6.06</v>
      </c>
      <c r="H277" s="164">
        <f t="shared" si="117"/>
        <v>74</v>
      </c>
      <c r="I277" s="164">
        <f t="shared" si="117"/>
        <v>404.56</v>
      </c>
      <c r="J277" s="164">
        <f t="shared" si="117"/>
        <v>0.14000000000000001</v>
      </c>
      <c r="K277" s="164">
        <f t="shared" si="117"/>
        <v>0.18</v>
      </c>
      <c r="L277" s="164">
        <f t="shared" si="117"/>
        <v>0.38</v>
      </c>
      <c r="M277" s="164">
        <f t="shared" si="117"/>
        <v>0.14000000000000001</v>
      </c>
      <c r="N277" s="164">
        <f t="shared" si="117"/>
        <v>0</v>
      </c>
      <c r="O277" s="164">
        <f t="shared" si="117"/>
        <v>98.4</v>
      </c>
      <c r="P277" s="164">
        <f t="shared" si="117"/>
        <v>147.69999999999999</v>
      </c>
      <c r="Q277" s="164">
        <f t="shared" si="117"/>
        <v>0</v>
      </c>
      <c r="R277" s="164">
        <f t="shared" si="117"/>
        <v>0</v>
      </c>
      <c r="S277" s="164">
        <f t="shared" si="117"/>
        <v>37.6</v>
      </c>
      <c r="T277" s="164">
        <f t="shared" si="117"/>
        <v>2.1800000000000002</v>
      </c>
    </row>
    <row r="278" spans="2:20" s="154" customFormat="1" ht="18" customHeight="1">
      <c r="B278" s="311" t="s">
        <v>265</v>
      </c>
      <c r="C278" s="311"/>
      <c r="D278" s="311"/>
      <c r="E278" s="311"/>
      <c r="F278" s="172">
        <f>F277/F280</f>
        <v>0.14777777777777779</v>
      </c>
      <c r="G278" s="172">
        <f t="shared" ref="G278:T278" si="118">G277/G280</f>
        <v>6.5869565217391304E-2</v>
      </c>
      <c r="H278" s="172">
        <f t="shared" si="118"/>
        <v>0.19321148825065274</v>
      </c>
      <c r="I278" s="172">
        <f t="shared" si="118"/>
        <v>0.14873529411764705</v>
      </c>
      <c r="J278" s="172">
        <f t="shared" si="118"/>
        <v>0.10000000000000002</v>
      </c>
      <c r="K278" s="172">
        <f t="shared" si="118"/>
        <v>0.11249999999999999</v>
      </c>
      <c r="L278" s="172">
        <f t="shared" si="118"/>
        <v>5.4285714285714284E-3</v>
      </c>
      <c r="M278" s="172">
        <f t="shared" si="118"/>
        <v>0.15555555555555556</v>
      </c>
      <c r="N278" s="172">
        <f t="shared" si="118"/>
        <v>0</v>
      </c>
      <c r="O278" s="172">
        <f t="shared" si="118"/>
        <v>8.2000000000000003E-2</v>
      </c>
      <c r="P278" s="172">
        <f t="shared" si="118"/>
        <v>0.12308333333333332</v>
      </c>
      <c r="Q278" s="172">
        <f t="shared" si="118"/>
        <v>0</v>
      </c>
      <c r="R278" s="172">
        <f t="shared" si="118"/>
        <v>0</v>
      </c>
      <c r="S278" s="172">
        <f t="shared" si="118"/>
        <v>0.12533333333333332</v>
      </c>
      <c r="T278" s="172">
        <f t="shared" si="118"/>
        <v>0.12111111111111111</v>
      </c>
    </row>
    <row r="279" spans="2:20" s="154" customFormat="1" ht="18" customHeight="1">
      <c r="B279" s="311" t="s">
        <v>275</v>
      </c>
      <c r="C279" s="311"/>
      <c r="D279" s="311"/>
      <c r="E279" s="311"/>
      <c r="F279" s="164">
        <f>F277+F272+F262</f>
        <v>62.690000000000005</v>
      </c>
      <c r="G279" s="164">
        <f t="shared" ref="G279:T279" si="119">G277+G272+G262</f>
        <v>56.480000000000004</v>
      </c>
      <c r="H279" s="164">
        <f t="shared" si="119"/>
        <v>281.92</v>
      </c>
      <c r="I279" s="164">
        <f t="shared" si="119"/>
        <v>1884.97</v>
      </c>
      <c r="J279" s="164">
        <f t="shared" si="119"/>
        <v>0.95000000000000007</v>
      </c>
      <c r="K279" s="164">
        <f t="shared" si="119"/>
        <v>1.0430000000000001</v>
      </c>
      <c r="L279" s="164">
        <f t="shared" si="119"/>
        <v>78.03</v>
      </c>
      <c r="M279" s="164">
        <f t="shared" si="119"/>
        <v>0.59010000000000007</v>
      </c>
      <c r="N279" s="164">
        <f t="shared" si="119"/>
        <v>6.5549999999999997</v>
      </c>
      <c r="O279" s="164">
        <f t="shared" si="119"/>
        <v>424.06</v>
      </c>
      <c r="P279" s="164">
        <f t="shared" si="119"/>
        <v>963.52</v>
      </c>
      <c r="Q279" s="164">
        <f t="shared" si="119"/>
        <v>7.6460000000000008</v>
      </c>
      <c r="R279" s="164">
        <f t="shared" si="119"/>
        <v>2.4999999999999998E-2</v>
      </c>
      <c r="S279" s="164">
        <f t="shared" si="119"/>
        <v>255.43</v>
      </c>
      <c r="T279" s="164">
        <f t="shared" si="119"/>
        <v>16.340000000000003</v>
      </c>
    </row>
    <row r="280" spans="2:20" s="154" customFormat="1" ht="18" customHeight="1">
      <c r="B280" s="311" t="s">
        <v>276</v>
      </c>
      <c r="C280" s="311"/>
      <c r="D280" s="311"/>
      <c r="E280" s="311"/>
      <c r="F280" s="153">
        <v>90</v>
      </c>
      <c r="G280" s="153">
        <v>92</v>
      </c>
      <c r="H280" s="153">
        <v>383</v>
      </c>
      <c r="I280" s="153">
        <v>2720</v>
      </c>
      <c r="J280" s="153">
        <v>1.4</v>
      </c>
      <c r="K280" s="153">
        <v>1.6</v>
      </c>
      <c r="L280" s="153">
        <v>70</v>
      </c>
      <c r="M280" s="153">
        <v>0.9</v>
      </c>
      <c r="N280" s="153">
        <v>12</v>
      </c>
      <c r="O280" s="153">
        <v>1200</v>
      </c>
      <c r="P280" s="153">
        <v>1200</v>
      </c>
      <c r="Q280" s="153">
        <v>14</v>
      </c>
      <c r="R280" s="153">
        <v>0.1</v>
      </c>
      <c r="S280" s="153">
        <v>300</v>
      </c>
      <c r="T280" s="153">
        <v>18</v>
      </c>
    </row>
    <row r="281" spans="2:20" s="154" customFormat="1" ht="18" customHeight="1">
      <c r="B281" s="311" t="s">
        <v>265</v>
      </c>
      <c r="C281" s="311"/>
      <c r="D281" s="311"/>
      <c r="E281" s="311"/>
      <c r="F281" s="172">
        <f>F279/F280</f>
        <v>0.69655555555555559</v>
      </c>
      <c r="G281" s="172">
        <f t="shared" ref="G281:T281" si="120">G279/G280</f>
        <v>0.61391304347826092</v>
      </c>
      <c r="H281" s="172">
        <f t="shared" si="120"/>
        <v>0.73608355091383815</v>
      </c>
      <c r="I281" s="172">
        <f t="shared" si="120"/>
        <v>0.69300367647058825</v>
      </c>
      <c r="J281" s="172">
        <f t="shared" si="120"/>
        <v>0.67857142857142871</v>
      </c>
      <c r="K281" s="172">
        <f t="shared" si="120"/>
        <v>0.65187500000000009</v>
      </c>
      <c r="L281" s="172">
        <f t="shared" si="120"/>
        <v>1.1147142857142858</v>
      </c>
      <c r="M281" s="172">
        <f t="shared" si="120"/>
        <v>0.65566666666666673</v>
      </c>
      <c r="N281" s="172">
        <f t="shared" si="120"/>
        <v>0.54625000000000001</v>
      </c>
      <c r="O281" s="172">
        <f t="shared" si="120"/>
        <v>0.35338333333333333</v>
      </c>
      <c r="P281" s="172">
        <f t="shared" si="120"/>
        <v>0.80293333333333328</v>
      </c>
      <c r="Q281" s="172">
        <f t="shared" si="120"/>
        <v>0.54614285714285715</v>
      </c>
      <c r="R281" s="172">
        <f t="shared" si="120"/>
        <v>0.24999999999999997</v>
      </c>
      <c r="S281" s="172">
        <f t="shared" si="120"/>
        <v>0.85143333333333338</v>
      </c>
      <c r="T281" s="172">
        <f t="shared" si="120"/>
        <v>0.90777777777777802</v>
      </c>
    </row>
    <row r="282" spans="2:20" s="154" customFormat="1" ht="18" customHeight="1">
      <c r="B282" s="344" t="s">
        <v>289</v>
      </c>
      <c r="C282" s="344"/>
      <c r="D282" s="344"/>
      <c r="E282" s="344"/>
      <c r="F282" s="344"/>
      <c r="G282" s="344"/>
      <c r="H282" s="344"/>
      <c r="I282" s="344"/>
      <c r="J282" s="344"/>
      <c r="K282" s="153"/>
      <c r="L282" s="153"/>
      <c r="M282" s="324" t="s">
        <v>229</v>
      </c>
      <c r="N282" s="324"/>
      <c r="O282" s="324"/>
      <c r="P282" s="324"/>
      <c r="Q282" s="324"/>
      <c r="R282" s="324"/>
      <c r="S282" s="324"/>
      <c r="T282" s="324"/>
    </row>
    <row r="283" spans="2:20" s="154" customFormat="1" ht="18" customHeight="1">
      <c r="B283" s="153"/>
      <c r="C283" s="153"/>
      <c r="D283" s="164"/>
      <c r="E283" s="164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</row>
    <row r="284" spans="2:20" s="154" customFormat="1" ht="18" customHeight="1">
      <c r="B284" s="323" t="s">
        <v>314</v>
      </c>
      <c r="C284" s="323"/>
      <c r="D284" s="323"/>
      <c r="E284" s="323"/>
      <c r="F284" s="323"/>
      <c r="G284" s="323"/>
      <c r="H284" s="323"/>
      <c r="I284" s="323"/>
      <c r="J284" s="323"/>
      <c r="K284" s="323"/>
      <c r="L284" s="323"/>
      <c r="M284" s="323"/>
      <c r="N284" s="323"/>
      <c r="O284" s="323"/>
      <c r="P284" s="323"/>
      <c r="Q284" s="323"/>
      <c r="R284" s="323"/>
      <c r="S284" s="323"/>
      <c r="T284" s="323"/>
    </row>
    <row r="285" spans="2:20" s="154" customFormat="1" ht="18" customHeight="1">
      <c r="B285" s="311" t="s">
        <v>231</v>
      </c>
      <c r="C285" s="311"/>
      <c r="D285" s="153"/>
      <c r="E285" s="153"/>
      <c r="F285" s="153"/>
      <c r="G285" s="324" t="s">
        <v>298</v>
      </c>
      <c r="H285" s="324"/>
      <c r="I285" s="324"/>
      <c r="J285" s="153"/>
      <c r="K285" s="153"/>
      <c r="L285" s="311" t="s">
        <v>233</v>
      </c>
      <c r="M285" s="311"/>
      <c r="N285" s="324" t="s">
        <v>234</v>
      </c>
      <c r="O285" s="324"/>
      <c r="P285" s="324"/>
      <c r="Q285" s="324"/>
      <c r="R285" s="153"/>
      <c r="S285" s="153"/>
      <c r="T285" s="153"/>
    </row>
    <row r="286" spans="2:20" s="154" customFormat="1" ht="18" customHeight="1">
      <c r="B286" s="153"/>
      <c r="C286" s="153"/>
      <c r="D286" s="153"/>
      <c r="E286" s="323" t="s">
        <v>235</v>
      </c>
      <c r="F286" s="323"/>
      <c r="G286" s="153">
        <v>2</v>
      </c>
      <c r="H286" s="153"/>
      <c r="I286" s="153"/>
      <c r="J286" s="153"/>
      <c r="K286" s="153"/>
      <c r="L286" s="311" t="s">
        <v>236</v>
      </c>
      <c r="M286" s="311"/>
      <c r="N286" s="324" t="s">
        <v>320</v>
      </c>
      <c r="O286" s="324"/>
      <c r="P286" s="324"/>
      <c r="Q286" s="324"/>
      <c r="R286" s="324"/>
      <c r="S286" s="324"/>
      <c r="T286" s="324"/>
    </row>
    <row r="287" spans="2:20" s="154" customFormat="1" ht="18" customHeight="1">
      <c r="B287" s="166" t="s">
        <v>279</v>
      </c>
      <c r="C287" s="340" t="s">
        <v>239</v>
      </c>
      <c r="D287" s="340"/>
      <c r="E287" s="340" t="s">
        <v>240</v>
      </c>
      <c r="F287" s="340" t="s">
        <v>241</v>
      </c>
      <c r="G287" s="340"/>
      <c r="H287" s="340"/>
      <c r="I287" s="166" t="s">
        <v>242</v>
      </c>
      <c r="J287" s="340" t="s">
        <v>244</v>
      </c>
      <c r="K287" s="340"/>
      <c r="L287" s="340"/>
      <c r="M287" s="340"/>
      <c r="N287" s="340"/>
      <c r="O287" s="340" t="s">
        <v>245</v>
      </c>
      <c r="P287" s="340"/>
      <c r="Q287" s="340"/>
      <c r="R287" s="340"/>
      <c r="S287" s="340"/>
      <c r="T287" s="340"/>
    </row>
    <row r="288" spans="2:20" s="154" customFormat="1" ht="18" customHeight="1">
      <c r="B288" s="166" t="s">
        <v>280</v>
      </c>
      <c r="C288" s="340"/>
      <c r="D288" s="340"/>
      <c r="E288" s="340"/>
      <c r="F288" s="166" t="s">
        <v>246</v>
      </c>
      <c r="G288" s="166" t="s">
        <v>247</v>
      </c>
      <c r="H288" s="166" t="s">
        <v>248</v>
      </c>
      <c r="I288" s="166" t="s">
        <v>243</v>
      </c>
      <c r="J288" s="166" t="s">
        <v>249</v>
      </c>
      <c r="K288" s="166" t="s">
        <v>250</v>
      </c>
      <c r="L288" s="166" t="s">
        <v>251</v>
      </c>
      <c r="M288" s="166" t="s">
        <v>252</v>
      </c>
      <c r="N288" s="166" t="s">
        <v>253</v>
      </c>
      <c r="O288" s="166" t="s">
        <v>254</v>
      </c>
      <c r="P288" s="166" t="s">
        <v>255</v>
      </c>
      <c r="Q288" s="166" t="s">
        <v>256</v>
      </c>
      <c r="R288" s="166" t="s">
        <v>257</v>
      </c>
      <c r="S288" s="166" t="s">
        <v>258</v>
      </c>
      <c r="T288" s="166" t="s">
        <v>259</v>
      </c>
    </row>
    <row r="289" spans="2:20" s="154" customFormat="1" ht="18" customHeight="1">
      <c r="B289" s="167">
        <v>1</v>
      </c>
      <c r="C289" s="325">
        <v>2</v>
      </c>
      <c r="D289" s="325"/>
      <c r="E289" s="167">
        <v>3</v>
      </c>
      <c r="F289" s="167">
        <v>4</v>
      </c>
      <c r="G289" s="167">
        <v>5</v>
      </c>
      <c r="H289" s="167">
        <v>6</v>
      </c>
      <c r="I289" s="167">
        <v>7</v>
      </c>
      <c r="J289" s="167">
        <v>8</v>
      </c>
      <c r="K289" s="167">
        <v>9</v>
      </c>
      <c r="L289" s="167">
        <v>10</v>
      </c>
      <c r="M289" s="167">
        <v>11</v>
      </c>
      <c r="N289" s="167">
        <v>12</v>
      </c>
      <c r="O289" s="167">
        <v>13</v>
      </c>
      <c r="P289" s="167">
        <v>14</v>
      </c>
      <c r="Q289" s="167">
        <v>15</v>
      </c>
      <c r="R289" s="167">
        <v>16</v>
      </c>
      <c r="S289" s="167">
        <v>17</v>
      </c>
      <c r="T289" s="167">
        <v>18</v>
      </c>
    </row>
    <row r="290" spans="2:20" s="154" customFormat="1" ht="18" customHeight="1">
      <c r="B290" s="323" t="s">
        <v>281</v>
      </c>
      <c r="C290" s="323"/>
      <c r="D290" s="323"/>
      <c r="E290" s="323"/>
      <c r="F290" s="323"/>
      <c r="G290" s="323"/>
      <c r="H290" s="323"/>
      <c r="I290" s="323"/>
      <c r="J290" s="323"/>
      <c r="K290" s="323"/>
      <c r="L290" s="323"/>
      <c r="M290" s="323"/>
      <c r="N290" s="323"/>
      <c r="O290" s="323"/>
      <c r="P290" s="323"/>
      <c r="Q290" s="323"/>
      <c r="R290" s="323"/>
      <c r="S290" s="323"/>
      <c r="T290" s="323"/>
    </row>
    <row r="291" spans="2:20" s="154" customFormat="1" ht="18" customHeight="1">
      <c r="B291" s="153" t="s">
        <v>331</v>
      </c>
      <c r="C291" s="329" t="s">
        <v>330</v>
      </c>
      <c r="D291" s="330"/>
      <c r="E291" s="153">
        <v>30</v>
      </c>
      <c r="F291" s="153">
        <v>0.56999999999999995</v>
      </c>
      <c r="G291" s="153">
        <v>2.67</v>
      </c>
      <c r="H291" s="153">
        <v>2.31</v>
      </c>
      <c r="I291" s="163">
        <v>35.700000000000003</v>
      </c>
      <c r="J291" s="153">
        <v>0.01</v>
      </c>
      <c r="K291" s="153">
        <v>0</v>
      </c>
      <c r="L291" s="153">
        <v>2.1</v>
      </c>
      <c r="M291" s="153">
        <v>0.01</v>
      </c>
      <c r="N291" s="153"/>
      <c r="O291" s="153">
        <v>12.3</v>
      </c>
      <c r="P291" s="153">
        <v>11.1</v>
      </c>
      <c r="Q291" s="153"/>
      <c r="R291" s="153">
        <v>0</v>
      </c>
      <c r="S291" s="153">
        <v>4.5</v>
      </c>
      <c r="T291" s="153">
        <v>0.21</v>
      </c>
    </row>
    <row r="292" spans="2:20" s="154" customFormat="1" ht="30" customHeight="1">
      <c r="B292" s="163">
        <v>71</v>
      </c>
      <c r="C292" s="315" t="s">
        <v>282</v>
      </c>
      <c r="D292" s="315"/>
      <c r="E292" s="163">
        <v>40</v>
      </c>
      <c r="F292" s="163">
        <v>0.33</v>
      </c>
      <c r="G292" s="163">
        <v>0.04</v>
      </c>
      <c r="H292" s="163">
        <v>1.1299999999999999</v>
      </c>
      <c r="I292" s="163">
        <v>6.23</v>
      </c>
      <c r="J292" s="163">
        <v>8.9999999999999993E-3</v>
      </c>
      <c r="K292" s="163">
        <v>0.01</v>
      </c>
      <c r="L292" s="163">
        <v>3</v>
      </c>
      <c r="M292" s="163">
        <v>3.0000000000000001E-3</v>
      </c>
      <c r="N292" s="163">
        <v>0.03</v>
      </c>
      <c r="O292" s="163">
        <v>6.9</v>
      </c>
      <c r="P292" s="163">
        <v>12.6</v>
      </c>
      <c r="Q292" s="163">
        <v>6.4000000000000001E-2</v>
      </c>
      <c r="R292" s="163">
        <v>1E-3</v>
      </c>
      <c r="S292" s="163">
        <v>4.2</v>
      </c>
      <c r="T292" s="163">
        <v>0.18</v>
      </c>
    </row>
    <row r="293" spans="2:20" s="154" customFormat="1" ht="16.5" customHeight="1">
      <c r="B293" s="153">
        <v>279</v>
      </c>
      <c r="C293" s="315" t="s">
        <v>409</v>
      </c>
      <c r="D293" s="315"/>
      <c r="E293" s="153" t="s">
        <v>116</v>
      </c>
      <c r="F293" s="153">
        <v>11.7</v>
      </c>
      <c r="G293" s="153">
        <v>14.1</v>
      </c>
      <c r="H293" s="153">
        <v>14.9</v>
      </c>
      <c r="I293" s="153">
        <v>233.4</v>
      </c>
      <c r="J293" s="153">
        <v>0.16</v>
      </c>
      <c r="K293" s="153">
        <v>0.13</v>
      </c>
      <c r="L293" s="153">
        <v>0.31</v>
      </c>
      <c r="M293" s="153">
        <v>8.9999999999999993E-3</v>
      </c>
      <c r="N293" s="153">
        <v>0.01</v>
      </c>
      <c r="O293" s="153">
        <v>12.65</v>
      </c>
      <c r="P293" s="153">
        <v>138.55000000000001</v>
      </c>
      <c r="Q293" s="153">
        <v>1.99</v>
      </c>
      <c r="R293" s="153">
        <v>0.03</v>
      </c>
      <c r="S293" s="153">
        <v>20.29</v>
      </c>
      <c r="T293" s="153">
        <v>1.73</v>
      </c>
    </row>
    <row r="294" spans="2:20" s="154" customFormat="1" ht="18" customHeight="1">
      <c r="B294" s="153">
        <v>203</v>
      </c>
      <c r="C294" s="315" t="s">
        <v>268</v>
      </c>
      <c r="D294" s="315"/>
      <c r="E294" s="153">
        <v>180</v>
      </c>
      <c r="F294" s="153">
        <v>6.62</v>
      </c>
      <c r="G294" s="153">
        <v>5.42</v>
      </c>
      <c r="H294" s="153">
        <v>31.74</v>
      </c>
      <c r="I294" s="153">
        <v>202.3</v>
      </c>
      <c r="J294" s="153">
        <v>0.108</v>
      </c>
      <c r="K294" s="153">
        <v>3.5999999999999997E-2</v>
      </c>
      <c r="L294" s="153">
        <v>0</v>
      </c>
      <c r="M294" s="153">
        <v>3.5999999999999997E-2</v>
      </c>
      <c r="N294" s="153">
        <v>1.5</v>
      </c>
      <c r="O294" s="153">
        <v>15.94</v>
      </c>
      <c r="P294" s="153">
        <v>55.45</v>
      </c>
      <c r="Q294" s="153">
        <v>0.94</v>
      </c>
      <c r="R294" s="153">
        <v>2E-3</v>
      </c>
      <c r="S294" s="153">
        <v>10.16</v>
      </c>
      <c r="T294" s="153">
        <v>0.86</v>
      </c>
    </row>
    <row r="295" spans="2:20" s="154" customFormat="1" ht="18" customHeight="1">
      <c r="B295" s="153">
        <v>338</v>
      </c>
      <c r="C295" s="315" t="s">
        <v>261</v>
      </c>
      <c r="D295" s="315"/>
      <c r="E295" s="153">
        <v>100</v>
      </c>
      <c r="F295" s="153">
        <v>0.4</v>
      </c>
      <c r="G295" s="153">
        <v>0.4</v>
      </c>
      <c r="H295" s="153">
        <v>9.8000000000000007</v>
      </c>
      <c r="I295" s="153">
        <v>44.4</v>
      </c>
      <c r="J295" s="153">
        <v>0.04</v>
      </c>
      <c r="K295" s="153">
        <v>0.02</v>
      </c>
      <c r="L295" s="153">
        <v>10</v>
      </c>
      <c r="M295" s="153">
        <v>0</v>
      </c>
      <c r="N295" s="153">
        <v>0.2</v>
      </c>
      <c r="O295" s="153">
        <v>16</v>
      </c>
      <c r="P295" s="153">
        <v>11</v>
      </c>
      <c r="Q295" s="153">
        <v>0</v>
      </c>
      <c r="R295" s="153">
        <v>0</v>
      </c>
      <c r="S295" s="153">
        <v>9</v>
      </c>
      <c r="T295" s="153">
        <v>2.2000000000000002</v>
      </c>
    </row>
    <row r="296" spans="2:20" s="154" customFormat="1" ht="18" customHeight="1">
      <c r="B296" s="153">
        <v>381</v>
      </c>
      <c r="C296" s="315" t="s">
        <v>317</v>
      </c>
      <c r="D296" s="315"/>
      <c r="E296" s="153">
        <v>200</v>
      </c>
      <c r="F296" s="153"/>
      <c r="G296" s="153"/>
      <c r="H296" s="153">
        <v>19.96</v>
      </c>
      <c r="I296" s="153">
        <v>80</v>
      </c>
      <c r="J296" s="153"/>
      <c r="K296" s="153"/>
      <c r="L296" s="153"/>
      <c r="M296" s="153"/>
      <c r="N296" s="153">
        <v>0</v>
      </c>
      <c r="O296" s="153">
        <v>0.4</v>
      </c>
      <c r="P296" s="153"/>
      <c r="Q296" s="153">
        <v>0</v>
      </c>
      <c r="R296" s="153"/>
      <c r="S296" s="153"/>
      <c r="T296" s="153">
        <v>0.06</v>
      </c>
    </row>
    <row r="297" spans="2:20" s="154" customFormat="1" ht="18" customHeight="1">
      <c r="B297" s="153" t="s">
        <v>270</v>
      </c>
      <c r="C297" s="315" t="s">
        <v>88</v>
      </c>
      <c r="D297" s="315"/>
      <c r="E297" s="153">
        <v>40</v>
      </c>
      <c r="F297" s="153">
        <v>3.04</v>
      </c>
      <c r="G297" s="153">
        <v>0.32</v>
      </c>
      <c r="H297" s="153">
        <v>19.68</v>
      </c>
      <c r="I297" s="153">
        <v>94</v>
      </c>
      <c r="J297" s="153">
        <v>0.04</v>
      </c>
      <c r="K297" s="153">
        <v>0.01</v>
      </c>
      <c r="L297" s="153">
        <v>0.88</v>
      </c>
      <c r="M297" s="153">
        <v>0</v>
      </c>
      <c r="N297" s="153">
        <v>0.7</v>
      </c>
      <c r="O297" s="153">
        <v>8</v>
      </c>
      <c r="P297" s="153">
        <v>26</v>
      </c>
      <c r="Q297" s="153">
        <v>8.0000000000000002E-3</v>
      </c>
      <c r="R297" s="153">
        <v>3.0000000000000001E-3</v>
      </c>
      <c r="S297" s="153">
        <v>0</v>
      </c>
      <c r="T297" s="153">
        <v>0.44</v>
      </c>
    </row>
    <row r="298" spans="2:20" s="154" customFormat="1" ht="18" customHeight="1">
      <c r="B298" s="312" t="s">
        <v>285</v>
      </c>
      <c r="C298" s="313"/>
      <c r="D298" s="314"/>
      <c r="E298" s="164">
        <f>E292+100+E294+E295+E296+E297</f>
        <v>660</v>
      </c>
      <c r="F298" s="164">
        <f>SUM(F292:F297)</f>
        <v>22.089999999999996</v>
      </c>
      <c r="G298" s="164">
        <f t="shared" ref="G298:T298" si="121">SUM(G292:G297)</f>
        <v>20.279999999999998</v>
      </c>
      <c r="H298" s="164">
        <f t="shared" si="121"/>
        <v>97.210000000000008</v>
      </c>
      <c r="I298" s="164">
        <f t="shared" si="121"/>
        <v>660.32999999999993</v>
      </c>
      <c r="J298" s="164">
        <f t="shared" si="121"/>
        <v>0.35699999999999998</v>
      </c>
      <c r="K298" s="164">
        <f t="shared" si="121"/>
        <v>0.20600000000000002</v>
      </c>
      <c r="L298" s="164">
        <f t="shared" si="121"/>
        <v>14.190000000000001</v>
      </c>
      <c r="M298" s="164">
        <f t="shared" si="121"/>
        <v>4.8000000000000001E-2</v>
      </c>
      <c r="N298" s="164">
        <f t="shared" si="121"/>
        <v>2.44</v>
      </c>
      <c r="O298" s="164">
        <f t="shared" si="121"/>
        <v>59.89</v>
      </c>
      <c r="P298" s="164">
        <f t="shared" si="121"/>
        <v>243.60000000000002</v>
      </c>
      <c r="Q298" s="164">
        <f t="shared" si="121"/>
        <v>3.0019999999999998</v>
      </c>
      <c r="R298" s="164">
        <f t="shared" si="121"/>
        <v>3.6000000000000004E-2</v>
      </c>
      <c r="S298" s="164">
        <f t="shared" si="121"/>
        <v>43.65</v>
      </c>
      <c r="T298" s="164">
        <f t="shared" si="121"/>
        <v>5.4700000000000006</v>
      </c>
    </row>
    <row r="299" spans="2:20" s="154" customFormat="1" ht="18" customHeight="1">
      <c r="B299" s="311" t="s">
        <v>265</v>
      </c>
      <c r="C299" s="311"/>
      <c r="D299" s="311"/>
      <c r="E299" s="311"/>
      <c r="F299" s="172">
        <f>F298/F316</f>
        <v>0.24544444444444441</v>
      </c>
      <c r="G299" s="172">
        <f t="shared" ref="G299:T299" si="122">G298/G316</f>
        <v>0.22043478260869562</v>
      </c>
      <c r="H299" s="172">
        <f t="shared" si="122"/>
        <v>0.25381201044386426</v>
      </c>
      <c r="I299" s="172">
        <f t="shared" si="122"/>
        <v>0.24276838235294115</v>
      </c>
      <c r="J299" s="172">
        <f t="shared" si="122"/>
        <v>0.255</v>
      </c>
      <c r="K299" s="172">
        <f t="shared" si="122"/>
        <v>0.12875</v>
      </c>
      <c r="L299" s="172">
        <f t="shared" si="122"/>
        <v>0.20271428571428574</v>
      </c>
      <c r="M299" s="172">
        <f t="shared" si="122"/>
        <v>5.333333333333333E-2</v>
      </c>
      <c r="N299" s="172">
        <f t="shared" si="122"/>
        <v>0.20333333333333334</v>
      </c>
      <c r="O299" s="172">
        <f t="shared" si="122"/>
        <v>4.9908333333333332E-2</v>
      </c>
      <c r="P299" s="172">
        <f t="shared" si="122"/>
        <v>0.20300000000000001</v>
      </c>
      <c r="Q299" s="172">
        <f t="shared" si="122"/>
        <v>0.21442857142857141</v>
      </c>
      <c r="R299" s="172">
        <f t="shared" si="122"/>
        <v>0.36000000000000004</v>
      </c>
      <c r="S299" s="172">
        <f t="shared" si="122"/>
        <v>0.14549999999999999</v>
      </c>
      <c r="T299" s="172">
        <f t="shared" si="122"/>
        <v>0.30388888888888893</v>
      </c>
    </row>
    <row r="300" spans="2:20" s="154" customFormat="1" ht="18" customHeight="1">
      <c r="B300" s="323" t="s">
        <v>266</v>
      </c>
      <c r="C300" s="323"/>
      <c r="D300" s="323"/>
      <c r="E300" s="323"/>
      <c r="F300" s="323"/>
      <c r="G300" s="323"/>
      <c r="H300" s="323"/>
      <c r="I300" s="323"/>
      <c r="J300" s="323"/>
      <c r="K300" s="323"/>
      <c r="L300" s="323"/>
      <c r="M300" s="323"/>
      <c r="N300" s="323"/>
      <c r="O300" s="323"/>
      <c r="P300" s="323"/>
      <c r="Q300" s="323"/>
      <c r="R300" s="323"/>
      <c r="S300" s="323"/>
      <c r="T300" s="323"/>
    </row>
    <row r="301" spans="2:20" s="154" customFormat="1" ht="28.5" customHeight="1">
      <c r="B301" s="153">
        <v>52</v>
      </c>
      <c r="C301" s="315" t="s">
        <v>136</v>
      </c>
      <c r="D301" s="315"/>
      <c r="E301" s="153">
        <v>100</v>
      </c>
      <c r="F301" s="153">
        <v>1.43</v>
      </c>
      <c r="G301" s="153">
        <v>5.08</v>
      </c>
      <c r="H301" s="153">
        <v>8.5500000000000007</v>
      </c>
      <c r="I301" s="153">
        <v>85.68</v>
      </c>
      <c r="J301" s="153">
        <v>0.02</v>
      </c>
      <c r="K301" s="153">
        <v>0.03</v>
      </c>
      <c r="L301" s="153">
        <v>9.5</v>
      </c>
      <c r="M301" s="153">
        <v>0.02</v>
      </c>
      <c r="N301" s="153">
        <v>0.17</v>
      </c>
      <c r="O301" s="153">
        <v>44.35</v>
      </c>
      <c r="P301" s="153">
        <v>42.73</v>
      </c>
      <c r="Q301" s="153">
        <v>0.72</v>
      </c>
      <c r="R301" s="153">
        <v>1.7000000000000001E-2</v>
      </c>
      <c r="S301" s="153">
        <v>21.5</v>
      </c>
      <c r="T301" s="153">
        <v>1.4</v>
      </c>
    </row>
    <row r="302" spans="2:20" s="154" customFormat="1" ht="18" customHeight="1">
      <c r="B302" s="153">
        <v>124</v>
      </c>
      <c r="C302" s="315" t="s">
        <v>223</v>
      </c>
      <c r="D302" s="315"/>
      <c r="E302" s="153">
        <v>250</v>
      </c>
      <c r="F302" s="153">
        <v>1.75</v>
      </c>
      <c r="G302" s="153">
        <v>5.63</v>
      </c>
      <c r="H302" s="153">
        <v>8.5</v>
      </c>
      <c r="I302" s="153">
        <v>95</v>
      </c>
      <c r="J302" s="153">
        <v>0.05</v>
      </c>
      <c r="K302" s="153">
        <v>0.05</v>
      </c>
      <c r="L302" s="153">
        <v>12</v>
      </c>
      <c r="M302" s="153">
        <v>0.05</v>
      </c>
      <c r="N302" s="153"/>
      <c r="O302" s="153">
        <v>31.8</v>
      </c>
      <c r="P302" s="153">
        <v>0</v>
      </c>
      <c r="Q302" s="153"/>
      <c r="R302" s="153">
        <v>0</v>
      </c>
      <c r="S302" s="153">
        <v>19.100000000000001</v>
      </c>
      <c r="T302" s="153">
        <v>0.7</v>
      </c>
    </row>
    <row r="303" spans="2:20" s="154" customFormat="1" ht="18" customHeight="1">
      <c r="B303" s="153">
        <v>232</v>
      </c>
      <c r="C303" s="315" t="s">
        <v>318</v>
      </c>
      <c r="D303" s="315"/>
      <c r="E303" s="153">
        <v>100</v>
      </c>
      <c r="F303" s="153">
        <v>22.21</v>
      </c>
      <c r="G303" s="153">
        <v>11.65</v>
      </c>
      <c r="H303" s="153">
        <v>2.99</v>
      </c>
      <c r="I303" s="153">
        <v>205.7</v>
      </c>
      <c r="J303" s="153">
        <v>0.23</v>
      </c>
      <c r="K303" s="153">
        <v>0.19</v>
      </c>
      <c r="L303" s="153">
        <v>1.1000000000000001</v>
      </c>
      <c r="M303" s="153">
        <v>0.03</v>
      </c>
      <c r="N303" s="153">
        <v>0.125</v>
      </c>
      <c r="O303" s="153">
        <v>41.7</v>
      </c>
      <c r="P303" s="153">
        <v>12.6</v>
      </c>
      <c r="Q303" s="153">
        <v>0.3</v>
      </c>
      <c r="R303" s="153">
        <v>1.0999999999999999E-2</v>
      </c>
      <c r="S303" s="153">
        <v>23.03</v>
      </c>
      <c r="T303" s="153">
        <v>0.79</v>
      </c>
    </row>
    <row r="304" spans="2:20" s="154" customFormat="1" ht="27" customHeight="1">
      <c r="B304" s="153">
        <v>312</v>
      </c>
      <c r="C304" s="315" t="s">
        <v>286</v>
      </c>
      <c r="D304" s="315"/>
      <c r="E304" s="153">
        <v>180</v>
      </c>
      <c r="F304" s="153">
        <v>3.95</v>
      </c>
      <c r="G304" s="153">
        <v>8.4700000000000006</v>
      </c>
      <c r="H304" s="153">
        <v>26.65</v>
      </c>
      <c r="I304" s="153">
        <v>198.65</v>
      </c>
      <c r="J304" s="153">
        <v>0.19</v>
      </c>
      <c r="K304" s="153">
        <v>0.16</v>
      </c>
      <c r="L304" s="153">
        <v>31.33</v>
      </c>
      <c r="M304" s="153">
        <v>9.6000000000000002E-2</v>
      </c>
      <c r="N304" s="153">
        <v>1.8</v>
      </c>
      <c r="O304" s="153">
        <v>51.05</v>
      </c>
      <c r="P304" s="153">
        <v>117.3</v>
      </c>
      <c r="Q304" s="153">
        <v>0.35899999999999999</v>
      </c>
      <c r="R304" s="153">
        <v>1E-3</v>
      </c>
      <c r="S304" s="153">
        <v>39.67</v>
      </c>
      <c r="T304" s="153">
        <v>1.43</v>
      </c>
    </row>
    <row r="305" spans="2:20" s="154" customFormat="1" ht="18" customHeight="1">
      <c r="B305" s="146">
        <v>376</v>
      </c>
      <c r="C305" s="316" t="s">
        <v>57</v>
      </c>
      <c r="D305" s="316"/>
      <c r="E305" s="146">
        <v>200</v>
      </c>
      <c r="F305" s="146">
        <v>0.2</v>
      </c>
      <c r="G305" s="146">
        <v>0.05</v>
      </c>
      <c r="H305" s="146">
        <v>15.01</v>
      </c>
      <c r="I305" s="146">
        <v>61</v>
      </c>
      <c r="J305" s="146">
        <v>0</v>
      </c>
      <c r="K305" s="146">
        <v>0.01</v>
      </c>
      <c r="L305" s="146">
        <v>9</v>
      </c>
      <c r="M305" s="146">
        <v>1E-4</v>
      </c>
      <c r="N305" s="146">
        <v>4.4999999999999998E-2</v>
      </c>
      <c r="O305" s="146">
        <v>5.25</v>
      </c>
      <c r="P305" s="146">
        <v>8.24</v>
      </c>
      <c r="Q305" s="146">
        <v>8.0000000000000002E-3</v>
      </c>
      <c r="R305" s="146">
        <v>0</v>
      </c>
      <c r="S305" s="146">
        <v>4.4000000000000004</v>
      </c>
      <c r="T305" s="146">
        <v>0.87</v>
      </c>
    </row>
    <row r="306" spans="2:20" s="154" customFormat="1" ht="18" customHeight="1">
      <c r="B306" s="153" t="s">
        <v>270</v>
      </c>
      <c r="C306" s="315" t="s">
        <v>135</v>
      </c>
      <c r="D306" s="315"/>
      <c r="E306" s="153">
        <v>40</v>
      </c>
      <c r="F306" s="153">
        <v>2.64</v>
      </c>
      <c r="G306" s="153">
        <v>0.48</v>
      </c>
      <c r="H306" s="153">
        <v>13.68</v>
      </c>
      <c r="I306" s="153">
        <v>69.599999999999994</v>
      </c>
      <c r="J306" s="153">
        <v>0.08</v>
      </c>
      <c r="K306" s="153">
        <v>0.04</v>
      </c>
      <c r="L306" s="153">
        <v>0</v>
      </c>
      <c r="M306" s="153">
        <v>0</v>
      </c>
      <c r="N306" s="153">
        <v>2.4</v>
      </c>
      <c r="O306" s="153">
        <v>14</v>
      </c>
      <c r="P306" s="153">
        <v>63.2</v>
      </c>
      <c r="Q306" s="153">
        <v>1.2</v>
      </c>
      <c r="R306" s="153">
        <v>1E-3</v>
      </c>
      <c r="S306" s="153">
        <v>9.4</v>
      </c>
      <c r="T306" s="153">
        <v>0.78</v>
      </c>
    </row>
    <row r="307" spans="2:20" s="154" customFormat="1" ht="18" customHeight="1">
      <c r="B307" s="153" t="s">
        <v>270</v>
      </c>
      <c r="C307" s="315" t="s">
        <v>35</v>
      </c>
      <c r="D307" s="315"/>
      <c r="E307" s="153">
        <v>30</v>
      </c>
      <c r="F307" s="153">
        <v>1.52</v>
      </c>
      <c r="G307" s="153">
        <v>0.16</v>
      </c>
      <c r="H307" s="153">
        <v>9.84</v>
      </c>
      <c r="I307" s="153">
        <v>46.9</v>
      </c>
      <c r="J307" s="153">
        <v>0.02</v>
      </c>
      <c r="K307" s="153">
        <v>0.01</v>
      </c>
      <c r="L307" s="153">
        <v>0.44</v>
      </c>
      <c r="M307" s="153">
        <v>0</v>
      </c>
      <c r="N307" s="153">
        <v>0.7</v>
      </c>
      <c r="O307" s="153">
        <v>4</v>
      </c>
      <c r="P307" s="153">
        <v>13</v>
      </c>
      <c r="Q307" s="153">
        <v>8.0000000000000002E-3</v>
      </c>
      <c r="R307" s="153">
        <v>1E-3</v>
      </c>
      <c r="S307" s="153">
        <v>0</v>
      </c>
      <c r="T307" s="153">
        <v>0.22</v>
      </c>
    </row>
    <row r="308" spans="2:20" s="154" customFormat="1" ht="28.5" customHeight="1">
      <c r="B308" s="311" t="s">
        <v>271</v>
      </c>
      <c r="C308" s="311"/>
      <c r="D308" s="311"/>
      <c r="E308" s="164">
        <f>SUM(E301:E307)</f>
        <v>900</v>
      </c>
      <c r="F308" s="164">
        <f t="shared" ref="F308:T308" si="123">SUM(F301:F307)</f>
        <v>33.700000000000003</v>
      </c>
      <c r="G308" s="164">
        <f t="shared" si="123"/>
        <v>31.52</v>
      </c>
      <c r="H308" s="164">
        <f t="shared" si="123"/>
        <v>85.22</v>
      </c>
      <c r="I308" s="164">
        <f t="shared" si="123"/>
        <v>762.53</v>
      </c>
      <c r="J308" s="164">
        <f t="shared" si="123"/>
        <v>0.59000000000000008</v>
      </c>
      <c r="K308" s="164">
        <f t="shared" si="123"/>
        <v>0.49000000000000005</v>
      </c>
      <c r="L308" s="164">
        <f t="shared" si="123"/>
        <v>63.37</v>
      </c>
      <c r="M308" s="164">
        <f t="shared" si="123"/>
        <v>0.1961</v>
      </c>
      <c r="N308" s="164">
        <f t="shared" si="123"/>
        <v>5.24</v>
      </c>
      <c r="O308" s="164">
        <f t="shared" si="123"/>
        <v>192.15</v>
      </c>
      <c r="P308" s="164">
        <f t="shared" si="123"/>
        <v>257.07</v>
      </c>
      <c r="Q308" s="164">
        <f t="shared" si="123"/>
        <v>2.5949999999999998</v>
      </c>
      <c r="R308" s="164">
        <f t="shared" si="123"/>
        <v>3.1000000000000003E-2</v>
      </c>
      <c r="S308" s="164">
        <f t="shared" si="123"/>
        <v>117.10000000000002</v>
      </c>
      <c r="T308" s="164">
        <f t="shared" si="123"/>
        <v>6.1899999999999995</v>
      </c>
    </row>
    <row r="309" spans="2:20" s="154" customFormat="1" ht="18" customHeight="1">
      <c r="B309" s="311" t="s">
        <v>265</v>
      </c>
      <c r="C309" s="311"/>
      <c r="D309" s="311"/>
      <c r="E309" s="311"/>
      <c r="F309" s="172">
        <f>F308/F316</f>
        <v>0.37444444444444447</v>
      </c>
      <c r="G309" s="172">
        <f t="shared" ref="G309:T309" si="124">G308/G316</f>
        <v>0.34260869565217389</v>
      </c>
      <c r="H309" s="172">
        <f t="shared" si="124"/>
        <v>0.2225065274151436</v>
      </c>
      <c r="I309" s="172">
        <f t="shared" si="124"/>
        <v>0.28034191176470585</v>
      </c>
      <c r="J309" s="172">
        <f t="shared" si="124"/>
        <v>0.42142857142857149</v>
      </c>
      <c r="K309" s="172">
        <f t="shared" si="124"/>
        <v>0.30625000000000002</v>
      </c>
      <c r="L309" s="172">
        <f t="shared" si="124"/>
        <v>0.90528571428571425</v>
      </c>
      <c r="M309" s="172">
        <f t="shared" si="124"/>
        <v>0.21788888888888888</v>
      </c>
      <c r="N309" s="172">
        <f t="shared" si="124"/>
        <v>0.4366666666666667</v>
      </c>
      <c r="O309" s="172">
        <f t="shared" si="124"/>
        <v>0.16012500000000002</v>
      </c>
      <c r="P309" s="172">
        <f t="shared" si="124"/>
        <v>0.214225</v>
      </c>
      <c r="Q309" s="172">
        <f t="shared" si="124"/>
        <v>0.18535714285714283</v>
      </c>
      <c r="R309" s="172">
        <f t="shared" si="124"/>
        <v>0.31</v>
      </c>
      <c r="S309" s="172">
        <f t="shared" si="124"/>
        <v>0.39033333333333342</v>
      </c>
      <c r="T309" s="172">
        <f t="shared" si="124"/>
        <v>0.34388888888888886</v>
      </c>
    </row>
    <row r="310" spans="2:20" s="154" customFormat="1" ht="18" customHeight="1">
      <c r="B310" s="323" t="s">
        <v>272</v>
      </c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</row>
    <row r="311" spans="2:20" s="154" customFormat="1" ht="18" customHeight="1">
      <c r="B311" s="153" t="s">
        <v>270</v>
      </c>
      <c r="C311" s="315" t="s">
        <v>407</v>
      </c>
      <c r="D311" s="315"/>
      <c r="E311" s="153">
        <v>65</v>
      </c>
      <c r="F311" s="153">
        <v>4.16</v>
      </c>
      <c r="G311" s="153">
        <v>8.14</v>
      </c>
      <c r="H311" s="153">
        <v>33.799999999999997</v>
      </c>
      <c r="I311" s="153">
        <v>225.34</v>
      </c>
      <c r="J311" s="153">
        <v>0.06</v>
      </c>
      <c r="K311" s="153">
        <v>0.05</v>
      </c>
      <c r="L311" s="153">
        <v>0</v>
      </c>
      <c r="M311" s="153">
        <v>0.06</v>
      </c>
      <c r="N311" s="153"/>
      <c r="O311" s="153">
        <v>11.26</v>
      </c>
      <c r="P311" s="153">
        <v>0</v>
      </c>
      <c r="Q311" s="153"/>
      <c r="R311" s="153">
        <v>0</v>
      </c>
      <c r="S311" s="153">
        <v>0</v>
      </c>
      <c r="T311" s="153">
        <v>0.6</v>
      </c>
    </row>
    <row r="312" spans="2:20" s="154" customFormat="1" ht="18" customHeight="1">
      <c r="B312" s="153">
        <v>648</v>
      </c>
      <c r="C312" s="315" t="s">
        <v>219</v>
      </c>
      <c r="D312" s="315"/>
      <c r="E312" s="153">
        <v>200</v>
      </c>
      <c r="F312" s="153">
        <v>0</v>
      </c>
      <c r="G312" s="153">
        <v>0</v>
      </c>
      <c r="H312" s="153">
        <v>20</v>
      </c>
      <c r="I312" s="153">
        <v>76</v>
      </c>
      <c r="J312" s="153">
        <v>0</v>
      </c>
      <c r="K312" s="153">
        <v>0</v>
      </c>
      <c r="L312" s="153">
        <v>0</v>
      </c>
      <c r="M312" s="153">
        <v>0</v>
      </c>
      <c r="N312" s="153"/>
      <c r="O312" s="153">
        <v>0.48</v>
      </c>
      <c r="P312" s="153">
        <v>0</v>
      </c>
      <c r="Q312" s="153">
        <v>0</v>
      </c>
      <c r="R312" s="153">
        <v>0</v>
      </c>
      <c r="S312" s="153">
        <v>0</v>
      </c>
      <c r="T312" s="153">
        <v>0.06</v>
      </c>
    </row>
    <row r="313" spans="2:20" s="154" customFormat="1" ht="18" customHeight="1">
      <c r="B313" s="312" t="s">
        <v>274</v>
      </c>
      <c r="C313" s="313"/>
      <c r="D313" s="314"/>
      <c r="E313" s="164">
        <f>SUM(E311:E312)</f>
        <v>265</v>
      </c>
      <c r="F313" s="164">
        <f t="shared" ref="F313:T313" si="125">SUM(F311:F312)</f>
        <v>4.16</v>
      </c>
      <c r="G313" s="164">
        <f t="shared" si="125"/>
        <v>8.14</v>
      </c>
      <c r="H313" s="164">
        <f t="shared" si="125"/>
        <v>53.8</v>
      </c>
      <c r="I313" s="164">
        <f t="shared" si="125"/>
        <v>301.34000000000003</v>
      </c>
      <c r="J313" s="164">
        <f t="shared" si="125"/>
        <v>0.06</v>
      </c>
      <c r="K313" s="164">
        <f t="shared" si="125"/>
        <v>0.05</v>
      </c>
      <c r="L313" s="164">
        <f t="shared" si="125"/>
        <v>0</v>
      </c>
      <c r="M313" s="164">
        <f t="shared" si="125"/>
        <v>0.06</v>
      </c>
      <c r="N313" s="164">
        <f t="shared" si="125"/>
        <v>0</v>
      </c>
      <c r="O313" s="164">
        <f t="shared" si="125"/>
        <v>11.74</v>
      </c>
      <c r="P313" s="164">
        <f t="shared" si="125"/>
        <v>0</v>
      </c>
      <c r="Q313" s="164">
        <f t="shared" si="125"/>
        <v>0</v>
      </c>
      <c r="R313" s="164">
        <f t="shared" si="125"/>
        <v>0</v>
      </c>
      <c r="S313" s="164">
        <f t="shared" si="125"/>
        <v>0</v>
      </c>
      <c r="T313" s="164">
        <f t="shared" si="125"/>
        <v>0.65999999999999992</v>
      </c>
    </row>
    <row r="314" spans="2:20" s="154" customFormat="1" ht="18" customHeight="1">
      <c r="B314" s="311" t="s">
        <v>265</v>
      </c>
      <c r="C314" s="311"/>
      <c r="D314" s="311"/>
      <c r="E314" s="311"/>
      <c r="F314" s="172">
        <f>F313/F316</f>
        <v>4.6222222222222227E-2</v>
      </c>
      <c r="G314" s="172">
        <f t="shared" ref="G314:T314" si="126">G313/G316</f>
        <v>8.8478260869565228E-2</v>
      </c>
      <c r="H314" s="172">
        <f t="shared" si="126"/>
        <v>0.14046997389033941</v>
      </c>
      <c r="I314" s="172">
        <f t="shared" si="126"/>
        <v>0.11078676470588236</v>
      </c>
      <c r="J314" s="172">
        <f t="shared" si="126"/>
        <v>4.2857142857142858E-2</v>
      </c>
      <c r="K314" s="172">
        <f t="shared" si="126"/>
        <v>3.125E-2</v>
      </c>
      <c r="L314" s="172">
        <f t="shared" si="126"/>
        <v>0</v>
      </c>
      <c r="M314" s="172">
        <f t="shared" si="126"/>
        <v>6.6666666666666666E-2</v>
      </c>
      <c r="N314" s="172">
        <f t="shared" si="126"/>
        <v>0</v>
      </c>
      <c r="O314" s="172">
        <f t="shared" si="126"/>
        <v>9.7833333333333331E-3</v>
      </c>
      <c r="P314" s="172">
        <f t="shared" si="126"/>
        <v>0</v>
      </c>
      <c r="Q314" s="172">
        <f t="shared" si="126"/>
        <v>0</v>
      </c>
      <c r="R314" s="172">
        <f t="shared" si="126"/>
        <v>0</v>
      </c>
      <c r="S314" s="172">
        <f t="shared" si="126"/>
        <v>0</v>
      </c>
      <c r="T314" s="172">
        <f t="shared" si="126"/>
        <v>3.666666666666666E-2</v>
      </c>
    </row>
    <row r="315" spans="2:20" s="154" customFormat="1" ht="18" customHeight="1">
      <c r="B315" s="311" t="s">
        <v>275</v>
      </c>
      <c r="C315" s="311"/>
      <c r="D315" s="311"/>
      <c r="E315" s="311"/>
      <c r="F315" s="164">
        <f>F313+F308+F298</f>
        <v>59.949999999999996</v>
      </c>
      <c r="G315" s="164">
        <f t="shared" ref="G315:T315" si="127">G313+G308+G298</f>
        <v>59.94</v>
      </c>
      <c r="H315" s="164">
        <f t="shared" si="127"/>
        <v>236.23</v>
      </c>
      <c r="I315" s="164">
        <f t="shared" si="127"/>
        <v>1724.1999999999998</v>
      </c>
      <c r="J315" s="164">
        <f t="shared" si="127"/>
        <v>1.0070000000000001</v>
      </c>
      <c r="K315" s="164">
        <f t="shared" si="127"/>
        <v>0.746</v>
      </c>
      <c r="L315" s="164">
        <f t="shared" si="127"/>
        <v>77.56</v>
      </c>
      <c r="M315" s="164">
        <f t="shared" si="127"/>
        <v>0.30409999999999998</v>
      </c>
      <c r="N315" s="164">
        <f t="shared" si="127"/>
        <v>7.68</v>
      </c>
      <c r="O315" s="164">
        <f t="shared" si="127"/>
        <v>263.78000000000003</v>
      </c>
      <c r="P315" s="164">
        <f t="shared" si="127"/>
        <v>500.67</v>
      </c>
      <c r="Q315" s="164">
        <f t="shared" si="127"/>
        <v>5.5969999999999995</v>
      </c>
      <c r="R315" s="164">
        <f t="shared" si="127"/>
        <v>6.7000000000000004E-2</v>
      </c>
      <c r="S315" s="164">
        <f t="shared" si="127"/>
        <v>160.75000000000003</v>
      </c>
      <c r="T315" s="164">
        <f t="shared" si="127"/>
        <v>12.32</v>
      </c>
    </row>
    <row r="316" spans="2:20" s="154" customFormat="1" ht="18" customHeight="1">
      <c r="B316" s="311" t="s">
        <v>276</v>
      </c>
      <c r="C316" s="311"/>
      <c r="D316" s="311"/>
      <c r="E316" s="311"/>
      <c r="F316" s="153">
        <v>90</v>
      </c>
      <c r="G316" s="153">
        <v>92</v>
      </c>
      <c r="H316" s="153">
        <v>383</v>
      </c>
      <c r="I316" s="153">
        <v>2720</v>
      </c>
      <c r="J316" s="153">
        <v>1.4</v>
      </c>
      <c r="K316" s="153">
        <v>1.6</v>
      </c>
      <c r="L316" s="153">
        <v>70</v>
      </c>
      <c r="M316" s="153">
        <v>0.9</v>
      </c>
      <c r="N316" s="153">
        <v>12</v>
      </c>
      <c r="O316" s="153">
        <v>1200</v>
      </c>
      <c r="P316" s="153">
        <v>1200</v>
      </c>
      <c r="Q316" s="153">
        <v>14</v>
      </c>
      <c r="R316" s="153">
        <v>0.1</v>
      </c>
      <c r="S316" s="153">
        <v>300</v>
      </c>
      <c r="T316" s="153">
        <v>18</v>
      </c>
    </row>
    <row r="317" spans="2:20" s="154" customFormat="1" ht="18" customHeight="1">
      <c r="B317" s="311" t="s">
        <v>265</v>
      </c>
      <c r="C317" s="311"/>
      <c r="D317" s="311"/>
      <c r="E317" s="311"/>
      <c r="F317" s="172">
        <f>F315/F316</f>
        <v>0.6661111111111111</v>
      </c>
      <c r="G317" s="172">
        <f t="shared" ref="G317:T317" si="128">G315/G316</f>
        <v>0.65152173913043476</v>
      </c>
      <c r="H317" s="172">
        <f t="shared" si="128"/>
        <v>0.61678851174934723</v>
      </c>
      <c r="I317" s="172">
        <f t="shared" si="128"/>
        <v>0.63389705882352931</v>
      </c>
      <c r="J317" s="172">
        <f t="shared" si="128"/>
        <v>0.71928571428571442</v>
      </c>
      <c r="K317" s="172">
        <f t="shared" si="128"/>
        <v>0.46625</v>
      </c>
      <c r="L317" s="172">
        <f t="shared" si="128"/>
        <v>1.1080000000000001</v>
      </c>
      <c r="M317" s="172">
        <f t="shared" si="128"/>
        <v>0.33788888888888885</v>
      </c>
      <c r="N317" s="172">
        <f t="shared" si="128"/>
        <v>0.64</v>
      </c>
      <c r="O317" s="172">
        <f t="shared" si="128"/>
        <v>0.21981666666666669</v>
      </c>
      <c r="P317" s="172">
        <f t="shared" si="128"/>
        <v>0.41722500000000001</v>
      </c>
      <c r="Q317" s="172">
        <f t="shared" si="128"/>
        <v>0.39978571428571424</v>
      </c>
      <c r="R317" s="172">
        <f t="shared" si="128"/>
        <v>0.67</v>
      </c>
      <c r="S317" s="172">
        <f t="shared" si="128"/>
        <v>0.53583333333333338</v>
      </c>
      <c r="T317" s="172">
        <f t="shared" si="128"/>
        <v>0.68444444444444441</v>
      </c>
    </row>
    <row r="318" spans="2:20" s="154" customFormat="1" ht="18" customHeight="1">
      <c r="B318" s="165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324" t="s">
        <v>229</v>
      </c>
      <c r="N318" s="324"/>
      <c r="O318" s="324"/>
      <c r="P318" s="324"/>
      <c r="Q318" s="324"/>
      <c r="R318" s="324"/>
      <c r="S318" s="324"/>
      <c r="T318" s="324"/>
    </row>
    <row r="319" spans="2:20" s="154" customFormat="1" ht="18" customHeight="1">
      <c r="B319" s="323" t="s">
        <v>316</v>
      </c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</row>
    <row r="320" spans="2:20" s="154" customFormat="1" ht="18" customHeight="1">
      <c r="B320" s="311" t="s">
        <v>231</v>
      </c>
      <c r="C320" s="311"/>
      <c r="D320" s="153"/>
      <c r="E320" s="153"/>
      <c r="F320" s="153"/>
      <c r="G320" s="324" t="s">
        <v>301</v>
      </c>
      <c r="H320" s="324"/>
      <c r="I320" s="324"/>
      <c r="J320" s="153"/>
      <c r="K320" s="153"/>
      <c r="L320" s="311" t="s">
        <v>233</v>
      </c>
      <c r="M320" s="311"/>
      <c r="N320" s="324" t="s">
        <v>234</v>
      </c>
      <c r="O320" s="324"/>
      <c r="P320" s="324"/>
      <c r="Q320" s="324"/>
      <c r="R320" s="153"/>
      <c r="S320" s="153"/>
      <c r="T320" s="153"/>
    </row>
    <row r="321" spans="2:20" s="154" customFormat="1" ht="18" customHeight="1">
      <c r="B321" s="153"/>
      <c r="C321" s="153"/>
      <c r="D321" s="153"/>
      <c r="E321" s="323" t="s">
        <v>235</v>
      </c>
      <c r="F321" s="323"/>
      <c r="G321" s="153">
        <v>2</v>
      </c>
      <c r="H321" s="153"/>
      <c r="I321" s="153"/>
      <c r="J321" s="153"/>
      <c r="K321" s="153"/>
      <c r="L321" s="311" t="s">
        <v>236</v>
      </c>
      <c r="M321" s="311"/>
      <c r="N321" s="324" t="s">
        <v>320</v>
      </c>
      <c r="O321" s="324"/>
      <c r="P321" s="324"/>
      <c r="Q321" s="324"/>
      <c r="R321" s="324"/>
      <c r="S321" s="324"/>
      <c r="T321" s="324"/>
    </row>
    <row r="322" spans="2:20" s="154" customFormat="1" ht="18" customHeight="1">
      <c r="B322" s="166" t="s">
        <v>279</v>
      </c>
      <c r="C322" s="340" t="s">
        <v>239</v>
      </c>
      <c r="D322" s="340"/>
      <c r="E322" s="340" t="s">
        <v>240</v>
      </c>
      <c r="F322" s="340" t="s">
        <v>241</v>
      </c>
      <c r="G322" s="340"/>
      <c r="H322" s="340"/>
      <c r="I322" s="166" t="s">
        <v>242</v>
      </c>
      <c r="J322" s="340" t="s">
        <v>244</v>
      </c>
      <c r="K322" s="340"/>
      <c r="L322" s="340"/>
      <c r="M322" s="340"/>
      <c r="N322" s="340"/>
      <c r="O322" s="340" t="s">
        <v>245</v>
      </c>
      <c r="P322" s="340"/>
      <c r="Q322" s="340"/>
      <c r="R322" s="340"/>
      <c r="S322" s="340"/>
      <c r="T322" s="340"/>
    </row>
    <row r="323" spans="2:20" s="154" customFormat="1" ht="18" customHeight="1">
      <c r="B323" s="166" t="s">
        <v>280</v>
      </c>
      <c r="C323" s="340"/>
      <c r="D323" s="340"/>
      <c r="E323" s="340"/>
      <c r="F323" s="166" t="s">
        <v>246</v>
      </c>
      <c r="G323" s="166" t="s">
        <v>247</v>
      </c>
      <c r="H323" s="166" t="s">
        <v>248</v>
      </c>
      <c r="I323" s="166" t="s">
        <v>243</v>
      </c>
      <c r="J323" s="166" t="s">
        <v>249</v>
      </c>
      <c r="K323" s="166" t="s">
        <v>250</v>
      </c>
      <c r="L323" s="166" t="s">
        <v>251</v>
      </c>
      <c r="M323" s="166" t="s">
        <v>252</v>
      </c>
      <c r="N323" s="166" t="s">
        <v>253</v>
      </c>
      <c r="O323" s="166" t="s">
        <v>254</v>
      </c>
      <c r="P323" s="166" t="s">
        <v>255</v>
      </c>
      <c r="Q323" s="166" t="s">
        <v>256</v>
      </c>
      <c r="R323" s="166" t="s">
        <v>257</v>
      </c>
      <c r="S323" s="166" t="s">
        <v>258</v>
      </c>
      <c r="T323" s="166" t="s">
        <v>259</v>
      </c>
    </row>
    <row r="324" spans="2:20" s="154" customFormat="1" ht="18" customHeight="1">
      <c r="B324" s="167">
        <v>1</v>
      </c>
      <c r="C324" s="325">
        <v>2</v>
      </c>
      <c r="D324" s="325"/>
      <c r="E324" s="167">
        <v>3</v>
      </c>
      <c r="F324" s="167">
        <v>4</v>
      </c>
      <c r="G324" s="167">
        <v>5</v>
      </c>
      <c r="H324" s="167">
        <v>6</v>
      </c>
      <c r="I324" s="167">
        <v>7</v>
      </c>
      <c r="J324" s="167">
        <v>8</v>
      </c>
      <c r="K324" s="167">
        <v>9</v>
      </c>
      <c r="L324" s="167">
        <v>10</v>
      </c>
      <c r="M324" s="167">
        <v>11</v>
      </c>
      <c r="N324" s="167">
        <v>12</v>
      </c>
      <c r="O324" s="167">
        <v>13</v>
      </c>
      <c r="P324" s="167">
        <v>14</v>
      </c>
      <c r="Q324" s="167">
        <v>15</v>
      </c>
      <c r="R324" s="167">
        <v>16</v>
      </c>
      <c r="S324" s="167">
        <v>17</v>
      </c>
      <c r="T324" s="167">
        <v>18</v>
      </c>
    </row>
    <row r="325" spans="2:20" s="154" customFormat="1" ht="18" customHeight="1">
      <c r="B325" s="323" t="s">
        <v>260</v>
      </c>
      <c r="C325" s="323"/>
      <c r="D325" s="323"/>
      <c r="E325" s="323"/>
      <c r="F325" s="323"/>
      <c r="G325" s="323"/>
      <c r="H325" s="323"/>
      <c r="I325" s="323"/>
      <c r="J325" s="323"/>
      <c r="K325" s="323"/>
      <c r="L325" s="323"/>
      <c r="M325" s="323"/>
      <c r="N325" s="323"/>
      <c r="O325" s="323"/>
      <c r="P325" s="323"/>
      <c r="Q325" s="323"/>
      <c r="R325" s="323"/>
      <c r="S325" s="323"/>
      <c r="T325" s="323"/>
    </row>
    <row r="326" spans="2:20" s="154" customFormat="1" ht="25.5" customHeight="1">
      <c r="B326" s="153">
        <v>15</v>
      </c>
      <c r="C326" s="315" t="s">
        <v>262</v>
      </c>
      <c r="D326" s="315"/>
      <c r="E326" s="153">
        <v>20</v>
      </c>
      <c r="F326" s="153">
        <v>4.6399999999999997</v>
      </c>
      <c r="G326" s="153">
        <v>6.8</v>
      </c>
      <c r="H326" s="153">
        <v>0.02</v>
      </c>
      <c r="I326" s="153">
        <v>79.8</v>
      </c>
      <c r="J326" s="153">
        <v>0.01</v>
      </c>
      <c r="K326" s="153">
        <v>0.06</v>
      </c>
      <c r="L326" s="153">
        <v>0.14000000000000001</v>
      </c>
      <c r="M326" s="153">
        <v>4.5999999999999999E-2</v>
      </c>
      <c r="N326" s="153">
        <v>0.1</v>
      </c>
      <c r="O326" s="153">
        <v>176</v>
      </c>
      <c r="P326" s="153">
        <v>100</v>
      </c>
      <c r="Q326" s="153">
        <v>0.8</v>
      </c>
      <c r="R326" s="153">
        <v>0.04</v>
      </c>
      <c r="S326" s="153">
        <v>7</v>
      </c>
      <c r="T326" s="153">
        <v>0.26</v>
      </c>
    </row>
    <row r="327" spans="2:20" s="154" customFormat="1" ht="18" customHeight="1">
      <c r="B327" s="153">
        <v>210</v>
      </c>
      <c r="C327" s="315" t="s">
        <v>303</v>
      </c>
      <c r="D327" s="315"/>
      <c r="E327" s="153">
        <v>250</v>
      </c>
      <c r="F327" s="153">
        <v>20.36</v>
      </c>
      <c r="G327" s="153">
        <v>23.74</v>
      </c>
      <c r="H327" s="153">
        <v>6.3</v>
      </c>
      <c r="I327" s="153">
        <v>320.3</v>
      </c>
      <c r="J327" s="153">
        <v>0.15</v>
      </c>
      <c r="K327" s="153">
        <v>0.34</v>
      </c>
      <c r="L327" s="153">
        <v>0.41</v>
      </c>
      <c r="M327" s="153">
        <v>0.05</v>
      </c>
      <c r="N327" s="153">
        <v>2.4249999999999998</v>
      </c>
      <c r="O327" s="153">
        <v>164.23</v>
      </c>
      <c r="P327" s="153">
        <v>310.63</v>
      </c>
      <c r="Q327" s="153">
        <v>1.69</v>
      </c>
      <c r="R327" s="153">
        <v>0.04</v>
      </c>
      <c r="S327" s="153">
        <v>26.94</v>
      </c>
      <c r="T327" s="153">
        <v>1.89</v>
      </c>
    </row>
    <row r="328" spans="2:20" s="154" customFormat="1" ht="18" customHeight="1">
      <c r="B328" s="153">
        <v>376</v>
      </c>
      <c r="C328" s="315" t="s">
        <v>57</v>
      </c>
      <c r="D328" s="315"/>
      <c r="E328" s="153">
        <v>200</v>
      </c>
      <c r="F328" s="153">
        <v>0.2</v>
      </c>
      <c r="G328" s="153">
        <v>0.05</v>
      </c>
      <c r="H328" s="153">
        <v>15.01</v>
      </c>
      <c r="I328" s="153">
        <v>61</v>
      </c>
      <c r="J328" s="153">
        <v>0</v>
      </c>
      <c r="K328" s="153">
        <v>0.01</v>
      </c>
      <c r="L328" s="153">
        <v>9</v>
      </c>
      <c r="M328" s="153">
        <v>1E-4</v>
      </c>
      <c r="N328" s="153">
        <v>4.4999999999999998E-2</v>
      </c>
      <c r="O328" s="153">
        <v>5.25</v>
      </c>
      <c r="P328" s="153">
        <v>8.24</v>
      </c>
      <c r="Q328" s="153">
        <v>8.0000000000000002E-3</v>
      </c>
      <c r="R328" s="153">
        <v>0</v>
      </c>
      <c r="S328" s="153">
        <v>4.4000000000000004</v>
      </c>
      <c r="T328" s="153">
        <v>0.87</v>
      </c>
    </row>
    <row r="329" spans="2:20" s="154" customFormat="1" ht="18" customHeight="1">
      <c r="B329" s="153" t="s">
        <v>270</v>
      </c>
      <c r="C329" s="315" t="s">
        <v>329</v>
      </c>
      <c r="D329" s="315"/>
      <c r="E329" s="153">
        <v>40</v>
      </c>
      <c r="F329" s="153">
        <v>2.67</v>
      </c>
      <c r="G329" s="153">
        <v>0.53</v>
      </c>
      <c r="H329" s="153">
        <v>13.73</v>
      </c>
      <c r="I329" s="153">
        <v>70.400000000000006</v>
      </c>
      <c r="J329" s="153">
        <v>0.13</v>
      </c>
      <c r="K329" s="153">
        <v>1.2999999999999999E-2</v>
      </c>
      <c r="L329" s="153">
        <v>0.1</v>
      </c>
      <c r="M329" s="153">
        <v>0</v>
      </c>
      <c r="N329" s="153">
        <v>0.93</v>
      </c>
      <c r="O329" s="153">
        <v>14</v>
      </c>
      <c r="P329" s="153">
        <v>63.2</v>
      </c>
      <c r="Q329" s="153">
        <v>1.2999999999999999E-2</v>
      </c>
      <c r="R329" s="153">
        <v>1.2999999999999999E-2</v>
      </c>
      <c r="S329" s="153">
        <v>18.8</v>
      </c>
      <c r="T329" s="153">
        <v>1.6</v>
      </c>
    </row>
    <row r="330" spans="2:20" s="154" customFormat="1" ht="18" customHeight="1">
      <c r="B330" s="311" t="s">
        <v>264</v>
      </c>
      <c r="C330" s="311"/>
      <c r="D330" s="311"/>
      <c r="E330" s="164">
        <f>SUM(E326:E329)</f>
        <v>510</v>
      </c>
      <c r="F330" s="164">
        <f t="shared" ref="F330:T330" si="129">SUM(F326:F329)</f>
        <v>27.869999999999997</v>
      </c>
      <c r="G330" s="164">
        <f t="shared" si="129"/>
        <v>31.12</v>
      </c>
      <c r="H330" s="164">
        <f t="shared" si="129"/>
        <v>35.06</v>
      </c>
      <c r="I330" s="164">
        <f t="shared" si="129"/>
        <v>531.5</v>
      </c>
      <c r="J330" s="164">
        <f t="shared" si="129"/>
        <v>0.29000000000000004</v>
      </c>
      <c r="K330" s="164">
        <f t="shared" si="129"/>
        <v>0.42300000000000004</v>
      </c>
      <c r="L330" s="164">
        <f t="shared" si="129"/>
        <v>9.65</v>
      </c>
      <c r="M330" s="164">
        <f t="shared" si="129"/>
        <v>9.6100000000000005E-2</v>
      </c>
      <c r="N330" s="164">
        <f t="shared" si="129"/>
        <v>3.5</v>
      </c>
      <c r="O330" s="164">
        <f t="shared" si="129"/>
        <v>359.48</v>
      </c>
      <c r="P330" s="164">
        <f t="shared" si="129"/>
        <v>482.07</v>
      </c>
      <c r="Q330" s="164">
        <f t="shared" si="129"/>
        <v>2.5110000000000001</v>
      </c>
      <c r="R330" s="164">
        <f t="shared" si="129"/>
        <v>9.2999999999999999E-2</v>
      </c>
      <c r="S330" s="164">
        <f t="shared" si="129"/>
        <v>57.14</v>
      </c>
      <c r="T330" s="164">
        <f t="shared" si="129"/>
        <v>4.62</v>
      </c>
    </row>
    <row r="331" spans="2:20" s="154" customFormat="1" ht="18" customHeight="1">
      <c r="B331" s="311" t="s">
        <v>265</v>
      </c>
      <c r="C331" s="311"/>
      <c r="D331" s="311"/>
      <c r="E331" s="311"/>
      <c r="F331" s="172">
        <f t="shared" ref="F331:T331" si="130">F330/F348</f>
        <v>0.30966666666666665</v>
      </c>
      <c r="G331" s="172">
        <f t="shared" si="130"/>
        <v>0.33826086956521739</v>
      </c>
      <c r="H331" s="172">
        <f t="shared" si="130"/>
        <v>9.1540469973890343E-2</v>
      </c>
      <c r="I331" s="172">
        <f t="shared" si="130"/>
        <v>0.19540441176470588</v>
      </c>
      <c r="J331" s="172">
        <f t="shared" si="130"/>
        <v>0.20714285714285718</v>
      </c>
      <c r="K331" s="172">
        <f t="shared" si="130"/>
        <v>0.26437500000000003</v>
      </c>
      <c r="L331" s="172">
        <f t="shared" si="130"/>
        <v>0.13785714285714287</v>
      </c>
      <c r="M331" s="172">
        <f t="shared" si="130"/>
        <v>0.10677777777777778</v>
      </c>
      <c r="N331" s="172">
        <f t="shared" si="130"/>
        <v>0.29166666666666669</v>
      </c>
      <c r="O331" s="172">
        <f t="shared" si="130"/>
        <v>0.2995666666666667</v>
      </c>
      <c r="P331" s="172">
        <f t="shared" si="130"/>
        <v>0.401725</v>
      </c>
      <c r="Q331" s="172">
        <f t="shared" si="130"/>
        <v>0.17935714285714285</v>
      </c>
      <c r="R331" s="172">
        <f t="shared" si="130"/>
        <v>0.92999999999999994</v>
      </c>
      <c r="S331" s="172">
        <f t="shared" si="130"/>
        <v>0.19046666666666667</v>
      </c>
      <c r="T331" s="172">
        <f t="shared" si="130"/>
        <v>0.25666666666666665</v>
      </c>
    </row>
    <row r="332" spans="2:20" s="154" customFormat="1" ht="18" customHeight="1">
      <c r="B332" s="323" t="s">
        <v>266</v>
      </c>
      <c r="C332" s="323"/>
      <c r="D332" s="323"/>
      <c r="E332" s="323"/>
      <c r="F332" s="323"/>
      <c r="G332" s="323"/>
      <c r="H332" s="323"/>
      <c r="I332" s="323"/>
      <c r="J332" s="323"/>
      <c r="K332" s="323"/>
      <c r="L332" s="323"/>
      <c r="M332" s="323"/>
      <c r="N332" s="323"/>
      <c r="O332" s="323"/>
      <c r="P332" s="323"/>
      <c r="Q332" s="323"/>
      <c r="R332" s="323"/>
      <c r="S332" s="323"/>
      <c r="T332" s="323"/>
    </row>
    <row r="333" spans="2:20" s="154" customFormat="1" ht="18" customHeight="1">
      <c r="B333" s="146">
        <v>115</v>
      </c>
      <c r="C333" s="316" t="s">
        <v>341</v>
      </c>
      <c r="D333" s="316"/>
      <c r="E333" s="153">
        <v>100</v>
      </c>
      <c r="F333" s="153">
        <v>1.9</v>
      </c>
      <c r="G333" s="153">
        <v>8.9</v>
      </c>
      <c r="H333" s="153">
        <v>7.7</v>
      </c>
      <c r="I333" s="153">
        <v>119</v>
      </c>
      <c r="J333" s="153">
        <v>0.02</v>
      </c>
      <c r="K333" s="153">
        <v>0</v>
      </c>
      <c r="L333" s="153">
        <v>7</v>
      </c>
      <c r="M333" s="153">
        <v>0.02</v>
      </c>
      <c r="N333" s="153"/>
      <c r="O333" s="153">
        <v>41</v>
      </c>
      <c r="P333" s="153">
        <v>37</v>
      </c>
      <c r="Q333" s="153"/>
      <c r="R333" s="153">
        <v>0</v>
      </c>
      <c r="S333" s="153">
        <v>15</v>
      </c>
      <c r="T333" s="153">
        <v>0.7</v>
      </c>
    </row>
    <row r="334" spans="2:20" s="154" customFormat="1" ht="16.5" customHeight="1">
      <c r="B334" s="153">
        <v>103</v>
      </c>
      <c r="C334" s="315" t="s">
        <v>347</v>
      </c>
      <c r="D334" s="315"/>
      <c r="E334" s="153">
        <v>250</v>
      </c>
      <c r="F334" s="153">
        <v>12.4</v>
      </c>
      <c r="G334" s="153">
        <v>11.1</v>
      </c>
      <c r="H334" s="153">
        <v>31.5</v>
      </c>
      <c r="I334" s="153">
        <v>275.60000000000002</v>
      </c>
      <c r="J334" s="153">
        <v>0.3</v>
      </c>
      <c r="K334" s="153">
        <v>0.1</v>
      </c>
      <c r="L334" s="153">
        <v>8.3000000000000007</v>
      </c>
      <c r="M334" s="153">
        <v>0.03</v>
      </c>
      <c r="N334" s="153">
        <v>0</v>
      </c>
      <c r="O334" s="153">
        <v>49.3</v>
      </c>
      <c r="P334" s="153">
        <v>93.3</v>
      </c>
      <c r="Q334" s="153">
        <v>0</v>
      </c>
      <c r="R334" s="153">
        <v>0</v>
      </c>
      <c r="S334" s="153">
        <v>27.3</v>
      </c>
      <c r="T334" s="153">
        <v>0.3</v>
      </c>
    </row>
    <row r="335" spans="2:20" s="154" customFormat="1" ht="23.25" customHeight="1">
      <c r="B335" s="153">
        <v>295</v>
      </c>
      <c r="C335" s="316" t="s">
        <v>181</v>
      </c>
      <c r="D335" s="316"/>
      <c r="E335" s="153">
        <v>100</v>
      </c>
      <c r="F335" s="153">
        <v>15.24</v>
      </c>
      <c r="G335" s="153">
        <v>5.8</v>
      </c>
      <c r="H335" s="153">
        <v>10.16</v>
      </c>
      <c r="I335" s="153">
        <v>153.80000000000001</v>
      </c>
      <c r="J335" s="153">
        <v>0.09</v>
      </c>
      <c r="K335" s="153">
        <v>0.08</v>
      </c>
      <c r="L335" s="153">
        <v>0.24</v>
      </c>
      <c r="M335" s="153">
        <v>1E-3</v>
      </c>
      <c r="N335" s="153">
        <v>7.3999999999999996E-2</v>
      </c>
      <c r="O335" s="153">
        <v>14.03</v>
      </c>
      <c r="P335" s="153">
        <v>93.98</v>
      </c>
      <c r="Q335" s="153">
        <v>1.17</v>
      </c>
      <c r="R335" s="153">
        <v>0.04</v>
      </c>
      <c r="S335" s="153">
        <v>16.239999999999998</v>
      </c>
      <c r="T335" s="153">
        <v>1.89</v>
      </c>
    </row>
    <row r="336" spans="2:20" s="154" customFormat="1" ht="28.5" customHeight="1">
      <c r="B336" s="153">
        <v>173</v>
      </c>
      <c r="C336" s="315" t="s">
        <v>319</v>
      </c>
      <c r="D336" s="315"/>
      <c r="E336" s="153">
        <v>180</v>
      </c>
      <c r="F336" s="153">
        <v>7.88</v>
      </c>
      <c r="G336" s="153">
        <v>5.03</v>
      </c>
      <c r="H336" s="153">
        <v>38.78</v>
      </c>
      <c r="I336" s="153">
        <v>231.92</v>
      </c>
      <c r="J336" s="153">
        <v>7.0000000000000007E-2</v>
      </c>
      <c r="K336" s="153">
        <v>0.04</v>
      </c>
      <c r="L336" s="153">
        <v>0</v>
      </c>
      <c r="M336" s="153">
        <v>0.04</v>
      </c>
      <c r="N336" s="153">
        <v>3.06</v>
      </c>
      <c r="O336" s="153">
        <v>21.74</v>
      </c>
      <c r="P336" s="153">
        <v>188.44</v>
      </c>
      <c r="Q336" s="153">
        <v>1.07</v>
      </c>
      <c r="R336" s="153">
        <v>1.6999999999999999E-3</v>
      </c>
      <c r="S336" s="153">
        <v>125.34</v>
      </c>
      <c r="T336" s="153">
        <v>4.26</v>
      </c>
    </row>
    <row r="337" spans="2:20" s="154" customFormat="1" ht="18" customHeight="1">
      <c r="B337" s="153">
        <v>389</v>
      </c>
      <c r="C337" s="315" t="s">
        <v>305</v>
      </c>
      <c r="D337" s="315"/>
      <c r="E337" s="153">
        <v>200</v>
      </c>
      <c r="F337" s="153">
        <v>1</v>
      </c>
      <c r="G337" s="153">
        <v>0.2</v>
      </c>
      <c r="H337" s="153">
        <v>20.2</v>
      </c>
      <c r="I337" s="153">
        <v>87</v>
      </c>
      <c r="J337" s="153">
        <v>0</v>
      </c>
      <c r="K337" s="153">
        <v>0.08</v>
      </c>
      <c r="L337" s="153">
        <v>4</v>
      </c>
      <c r="M337" s="153">
        <v>0</v>
      </c>
      <c r="N337" s="153">
        <v>0</v>
      </c>
      <c r="O337" s="153">
        <v>31.1</v>
      </c>
      <c r="P337" s="153">
        <v>18</v>
      </c>
      <c r="Q337" s="153">
        <v>0</v>
      </c>
      <c r="R337" s="153">
        <v>0</v>
      </c>
      <c r="S337" s="153">
        <v>8</v>
      </c>
      <c r="T337" s="153">
        <v>0.72</v>
      </c>
    </row>
    <row r="338" spans="2:20" s="154" customFormat="1" ht="18" customHeight="1">
      <c r="B338" s="153" t="s">
        <v>270</v>
      </c>
      <c r="C338" s="315" t="s">
        <v>135</v>
      </c>
      <c r="D338" s="315"/>
      <c r="E338" s="153">
        <v>40</v>
      </c>
      <c r="F338" s="153">
        <v>2.64</v>
      </c>
      <c r="G338" s="153">
        <v>0.48</v>
      </c>
      <c r="H338" s="153">
        <v>13.68</v>
      </c>
      <c r="I338" s="153">
        <v>69.599999999999994</v>
      </c>
      <c r="J338" s="153">
        <v>0.08</v>
      </c>
      <c r="K338" s="153">
        <v>0.04</v>
      </c>
      <c r="L338" s="153">
        <v>0</v>
      </c>
      <c r="M338" s="153">
        <v>0</v>
      </c>
      <c r="N338" s="153">
        <v>2.4</v>
      </c>
      <c r="O338" s="153">
        <v>14</v>
      </c>
      <c r="P338" s="153">
        <v>63.2</v>
      </c>
      <c r="Q338" s="153">
        <v>1.2</v>
      </c>
      <c r="R338" s="153">
        <v>1E-3</v>
      </c>
      <c r="S338" s="153">
        <v>9.4</v>
      </c>
      <c r="T338" s="153">
        <v>0.78</v>
      </c>
    </row>
    <row r="339" spans="2:20" s="154" customFormat="1" ht="18" customHeight="1">
      <c r="B339" s="153" t="s">
        <v>270</v>
      </c>
      <c r="C339" s="315" t="s">
        <v>35</v>
      </c>
      <c r="D339" s="315"/>
      <c r="E339" s="153">
        <v>30</v>
      </c>
      <c r="F339" s="153">
        <v>1.52</v>
      </c>
      <c r="G339" s="153">
        <v>0.16</v>
      </c>
      <c r="H339" s="153">
        <v>9.84</v>
      </c>
      <c r="I339" s="153">
        <v>46.9</v>
      </c>
      <c r="J339" s="153">
        <v>0.02</v>
      </c>
      <c r="K339" s="153">
        <v>0.01</v>
      </c>
      <c r="L339" s="153">
        <v>0.44</v>
      </c>
      <c r="M339" s="153">
        <v>0</v>
      </c>
      <c r="N339" s="153">
        <v>0.7</v>
      </c>
      <c r="O339" s="153">
        <v>4</v>
      </c>
      <c r="P339" s="153">
        <v>13</v>
      </c>
      <c r="Q339" s="153">
        <v>8.0000000000000002E-3</v>
      </c>
      <c r="R339" s="153">
        <v>1E-3</v>
      </c>
      <c r="S339" s="153">
        <v>0</v>
      </c>
      <c r="T339" s="153">
        <v>0.22</v>
      </c>
    </row>
    <row r="340" spans="2:20" s="154" customFormat="1" ht="27" customHeight="1">
      <c r="B340" s="337" t="s">
        <v>271</v>
      </c>
      <c r="C340" s="338"/>
      <c r="D340" s="339"/>
      <c r="E340" s="164">
        <f>SUM(E333:E339)</f>
        <v>900</v>
      </c>
      <c r="F340" s="164">
        <f t="shared" ref="F340:T340" si="131">SUM(F333:F339)</f>
        <v>42.580000000000005</v>
      </c>
      <c r="G340" s="164">
        <f t="shared" si="131"/>
        <v>31.67</v>
      </c>
      <c r="H340" s="164">
        <f t="shared" si="131"/>
        <v>131.86000000000001</v>
      </c>
      <c r="I340" s="164">
        <f t="shared" si="131"/>
        <v>983.82</v>
      </c>
      <c r="J340" s="164">
        <f t="shared" si="131"/>
        <v>0.58000000000000007</v>
      </c>
      <c r="K340" s="164">
        <f t="shared" si="131"/>
        <v>0.35</v>
      </c>
      <c r="L340" s="164">
        <f t="shared" si="131"/>
        <v>19.98</v>
      </c>
      <c r="M340" s="164">
        <f t="shared" si="131"/>
        <v>9.0999999999999998E-2</v>
      </c>
      <c r="N340" s="164">
        <f t="shared" si="131"/>
        <v>6.234</v>
      </c>
      <c r="O340" s="164">
        <f t="shared" si="131"/>
        <v>175.17</v>
      </c>
      <c r="P340" s="164">
        <f t="shared" si="131"/>
        <v>506.92</v>
      </c>
      <c r="Q340" s="164">
        <f t="shared" si="131"/>
        <v>3.4480000000000004</v>
      </c>
      <c r="R340" s="164">
        <f t="shared" si="131"/>
        <v>4.3700000000000003E-2</v>
      </c>
      <c r="S340" s="164">
        <f t="shared" si="131"/>
        <v>201.28</v>
      </c>
      <c r="T340" s="164">
        <f t="shared" si="131"/>
        <v>8.8699999999999992</v>
      </c>
    </row>
    <row r="341" spans="2:20" s="154" customFormat="1" ht="18" customHeight="1">
      <c r="B341" s="311" t="s">
        <v>265</v>
      </c>
      <c r="C341" s="311"/>
      <c r="D341" s="311"/>
      <c r="E341" s="311"/>
      <c r="F341" s="172">
        <f>F340/F348</f>
        <v>0.47311111111111115</v>
      </c>
      <c r="G341" s="172">
        <f t="shared" ref="G341:T341" si="132">G340/G348</f>
        <v>0.3442391304347826</v>
      </c>
      <c r="H341" s="172">
        <f t="shared" si="132"/>
        <v>0.34428198433420371</v>
      </c>
      <c r="I341" s="172">
        <f t="shared" si="132"/>
        <v>0.36169852941176472</v>
      </c>
      <c r="J341" s="172">
        <f t="shared" si="132"/>
        <v>0.41428571428571437</v>
      </c>
      <c r="K341" s="172">
        <f t="shared" si="132"/>
        <v>0.21874999999999997</v>
      </c>
      <c r="L341" s="172">
        <f t="shared" si="132"/>
        <v>0.28542857142857142</v>
      </c>
      <c r="M341" s="172">
        <f t="shared" si="132"/>
        <v>0.10111111111111111</v>
      </c>
      <c r="N341" s="172">
        <f t="shared" si="132"/>
        <v>0.51949999999999996</v>
      </c>
      <c r="O341" s="172">
        <f t="shared" si="132"/>
        <v>0.14597499999999999</v>
      </c>
      <c r="P341" s="172">
        <f t="shared" si="132"/>
        <v>0.42243333333333333</v>
      </c>
      <c r="Q341" s="172">
        <f t="shared" si="132"/>
        <v>0.2462857142857143</v>
      </c>
      <c r="R341" s="172">
        <f t="shared" si="132"/>
        <v>0.437</v>
      </c>
      <c r="S341" s="172">
        <f t="shared" si="132"/>
        <v>0.67093333333333338</v>
      </c>
      <c r="T341" s="172">
        <f t="shared" si="132"/>
        <v>0.49277777777777776</v>
      </c>
    </row>
    <row r="342" spans="2:20" s="154" customFormat="1" ht="18" customHeight="1">
      <c r="B342" s="323" t="s">
        <v>272</v>
      </c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</row>
    <row r="343" spans="2:20" s="154" customFormat="1" ht="18" customHeight="1">
      <c r="B343" s="153" t="s">
        <v>270</v>
      </c>
      <c r="C343" s="315" t="s">
        <v>402</v>
      </c>
      <c r="D343" s="315"/>
      <c r="E343" s="153">
        <v>80</v>
      </c>
      <c r="F343" s="153">
        <v>5.95</v>
      </c>
      <c r="G343" s="153">
        <v>6.05</v>
      </c>
      <c r="H343" s="153">
        <v>38.22</v>
      </c>
      <c r="I343" s="153">
        <v>231.11</v>
      </c>
      <c r="J343" s="153">
        <v>0.06</v>
      </c>
      <c r="K343" s="153">
        <v>0.06</v>
      </c>
      <c r="L343" s="153">
        <v>0.02</v>
      </c>
      <c r="M343" s="153">
        <v>0.06</v>
      </c>
      <c r="N343" s="153"/>
      <c r="O343" s="153">
        <v>19.489999999999998</v>
      </c>
      <c r="P343" s="153">
        <v>55.89</v>
      </c>
      <c r="Q343" s="153"/>
      <c r="R343" s="153">
        <v>0</v>
      </c>
      <c r="S343" s="153">
        <v>8.27</v>
      </c>
      <c r="T343" s="153">
        <v>0.7</v>
      </c>
    </row>
    <row r="344" spans="2:20" s="154" customFormat="1" ht="18" customHeight="1">
      <c r="B344" s="153">
        <v>377</v>
      </c>
      <c r="C344" s="315" t="s">
        <v>70</v>
      </c>
      <c r="D344" s="315"/>
      <c r="E344" s="153" t="s">
        <v>72</v>
      </c>
      <c r="F344" s="153">
        <v>0.26</v>
      </c>
      <c r="G344" s="153">
        <v>0.06</v>
      </c>
      <c r="H344" s="153">
        <v>15.22</v>
      </c>
      <c r="I344" s="153">
        <v>62.5</v>
      </c>
      <c r="J344" s="153"/>
      <c r="K344" s="153">
        <v>0.01</v>
      </c>
      <c r="L344" s="153">
        <v>2.9</v>
      </c>
      <c r="M344" s="153">
        <v>0</v>
      </c>
      <c r="N344" s="153">
        <v>0.06</v>
      </c>
      <c r="O344" s="153">
        <v>8.0500000000000007</v>
      </c>
      <c r="P344" s="153">
        <v>9.7799999999999994</v>
      </c>
      <c r="Q344" s="153">
        <v>1.7000000000000001E-2</v>
      </c>
      <c r="R344" s="153">
        <v>0</v>
      </c>
      <c r="S344" s="153">
        <v>5.24</v>
      </c>
      <c r="T344" s="153">
        <v>0.87</v>
      </c>
    </row>
    <row r="345" spans="2:20" s="154" customFormat="1" ht="18" customHeight="1">
      <c r="B345" s="312" t="s">
        <v>274</v>
      </c>
      <c r="C345" s="313"/>
      <c r="D345" s="314"/>
      <c r="E345" s="164">
        <f>E343+204</f>
        <v>284</v>
      </c>
      <c r="F345" s="164">
        <f>SUM(F343:F344)</f>
        <v>6.21</v>
      </c>
      <c r="G345" s="164">
        <f t="shared" ref="G345:T345" si="133">SUM(G343:G344)</f>
        <v>6.1099999999999994</v>
      </c>
      <c r="H345" s="164">
        <f t="shared" si="133"/>
        <v>53.44</v>
      </c>
      <c r="I345" s="164">
        <f t="shared" si="133"/>
        <v>293.61</v>
      </c>
      <c r="J345" s="164">
        <f t="shared" si="133"/>
        <v>0.06</v>
      </c>
      <c r="K345" s="164">
        <f t="shared" si="133"/>
        <v>6.9999999999999993E-2</v>
      </c>
      <c r="L345" s="164">
        <f t="shared" si="133"/>
        <v>2.92</v>
      </c>
      <c r="M345" s="164">
        <f t="shared" si="133"/>
        <v>0.06</v>
      </c>
      <c r="N345" s="164">
        <f t="shared" si="133"/>
        <v>0.06</v>
      </c>
      <c r="O345" s="164">
        <f t="shared" si="133"/>
        <v>27.54</v>
      </c>
      <c r="P345" s="164">
        <f t="shared" si="133"/>
        <v>65.67</v>
      </c>
      <c r="Q345" s="164">
        <f t="shared" si="133"/>
        <v>1.7000000000000001E-2</v>
      </c>
      <c r="R345" s="164">
        <f t="shared" si="133"/>
        <v>0</v>
      </c>
      <c r="S345" s="164">
        <f t="shared" si="133"/>
        <v>13.51</v>
      </c>
      <c r="T345" s="164">
        <f t="shared" si="133"/>
        <v>1.5699999999999998</v>
      </c>
    </row>
    <row r="346" spans="2:20" s="154" customFormat="1" ht="18" customHeight="1">
      <c r="B346" s="311" t="s">
        <v>265</v>
      </c>
      <c r="C346" s="311"/>
      <c r="D346" s="311"/>
      <c r="E346" s="311"/>
      <c r="F346" s="172">
        <f>F345/F348</f>
        <v>6.9000000000000006E-2</v>
      </c>
      <c r="G346" s="172">
        <f t="shared" ref="G346:T346" si="134">G345/G348</f>
        <v>6.6413043478260866E-2</v>
      </c>
      <c r="H346" s="172">
        <f t="shared" si="134"/>
        <v>0.13953002610966056</v>
      </c>
      <c r="I346" s="172">
        <f t="shared" si="134"/>
        <v>0.10794485294117648</v>
      </c>
      <c r="J346" s="172">
        <f t="shared" si="134"/>
        <v>4.2857142857142858E-2</v>
      </c>
      <c r="K346" s="172">
        <f t="shared" si="134"/>
        <v>4.374999999999999E-2</v>
      </c>
      <c r="L346" s="172">
        <f t="shared" si="134"/>
        <v>4.1714285714285711E-2</v>
      </c>
      <c r="M346" s="172">
        <f t="shared" si="134"/>
        <v>6.6666666666666666E-2</v>
      </c>
      <c r="N346" s="172">
        <f t="shared" si="134"/>
        <v>5.0000000000000001E-3</v>
      </c>
      <c r="O346" s="172">
        <f t="shared" si="134"/>
        <v>2.2949999999999998E-2</v>
      </c>
      <c r="P346" s="172">
        <f t="shared" si="134"/>
        <v>5.4725000000000003E-2</v>
      </c>
      <c r="Q346" s="172">
        <f t="shared" si="134"/>
        <v>1.2142857142857144E-3</v>
      </c>
      <c r="R346" s="172">
        <f t="shared" si="134"/>
        <v>0</v>
      </c>
      <c r="S346" s="172">
        <f t="shared" si="134"/>
        <v>4.5033333333333335E-2</v>
      </c>
      <c r="T346" s="172">
        <f t="shared" si="134"/>
        <v>8.7222222222222215E-2</v>
      </c>
    </row>
    <row r="347" spans="2:20" s="154" customFormat="1" ht="18" customHeight="1">
      <c r="B347" s="311" t="s">
        <v>275</v>
      </c>
      <c r="C347" s="311"/>
      <c r="D347" s="311"/>
      <c r="E347" s="311"/>
      <c r="F347" s="164">
        <f>F345+F340+F330</f>
        <v>76.66</v>
      </c>
      <c r="G347" s="164">
        <f t="shared" ref="G347:T347" si="135">G345+G340+G330</f>
        <v>68.900000000000006</v>
      </c>
      <c r="H347" s="164">
        <f t="shared" si="135"/>
        <v>220.36</v>
      </c>
      <c r="I347" s="164">
        <f t="shared" si="135"/>
        <v>1808.93</v>
      </c>
      <c r="J347" s="164">
        <f t="shared" si="135"/>
        <v>0.93000000000000016</v>
      </c>
      <c r="K347" s="164">
        <f t="shared" si="135"/>
        <v>0.84299999999999997</v>
      </c>
      <c r="L347" s="164">
        <f t="shared" si="135"/>
        <v>32.549999999999997</v>
      </c>
      <c r="M347" s="164">
        <f t="shared" si="135"/>
        <v>0.24709999999999999</v>
      </c>
      <c r="N347" s="164">
        <f t="shared" si="135"/>
        <v>9.7940000000000005</v>
      </c>
      <c r="O347" s="164">
        <f t="shared" si="135"/>
        <v>562.19000000000005</v>
      </c>
      <c r="P347" s="164">
        <f t="shared" si="135"/>
        <v>1054.6600000000001</v>
      </c>
      <c r="Q347" s="164">
        <f t="shared" si="135"/>
        <v>5.9760000000000009</v>
      </c>
      <c r="R347" s="164">
        <f t="shared" si="135"/>
        <v>0.13669999999999999</v>
      </c>
      <c r="S347" s="164">
        <f t="shared" si="135"/>
        <v>271.93</v>
      </c>
      <c r="T347" s="164">
        <f t="shared" si="135"/>
        <v>15.059999999999999</v>
      </c>
    </row>
    <row r="348" spans="2:20" s="154" customFormat="1" ht="18" customHeight="1">
      <c r="B348" s="311" t="s">
        <v>276</v>
      </c>
      <c r="C348" s="311"/>
      <c r="D348" s="311"/>
      <c r="E348" s="311"/>
      <c r="F348" s="153">
        <v>90</v>
      </c>
      <c r="G348" s="153">
        <v>92</v>
      </c>
      <c r="H348" s="153">
        <v>383</v>
      </c>
      <c r="I348" s="153">
        <v>2720</v>
      </c>
      <c r="J348" s="153">
        <v>1.4</v>
      </c>
      <c r="K348" s="153">
        <v>1.6</v>
      </c>
      <c r="L348" s="153">
        <v>70</v>
      </c>
      <c r="M348" s="153">
        <v>0.9</v>
      </c>
      <c r="N348" s="153">
        <v>12</v>
      </c>
      <c r="O348" s="153">
        <v>1200</v>
      </c>
      <c r="P348" s="153">
        <v>1200</v>
      </c>
      <c r="Q348" s="153">
        <v>14</v>
      </c>
      <c r="R348" s="153">
        <v>0.1</v>
      </c>
      <c r="S348" s="153">
        <v>300</v>
      </c>
      <c r="T348" s="153">
        <v>18</v>
      </c>
    </row>
    <row r="349" spans="2:20" s="154" customFormat="1" ht="18" customHeight="1">
      <c r="B349" s="311" t="s">
        <v>265</v>
      </c>
      <c r="C349" s="311"/>
      <c r="D349" s="311"/>
      <c r="E349" s="311"/>
      <c r="F349" s="172">
        <f>F347/F348</f>
        <v>0.85177777777777774</v>
      </c>
      <c r="G349" s="172">
        <f t="shared" ref="G349:T349" si="136">G347/G348</f>
        <v>0.74891304347826093</v>
      </c>
      <c r="H349" s="172">
        <f t="shared" si="136"/>
        <v>0.57535248041775455</v>
      </c>
      <c r="I349" s="172">
        <f t="shared" si="136"/>
        <v>0.66504779411764703</v>
      </c>
      <c r="J349" s="172">
        <f t="shared" si="136"/>
        <v>0.66428571428571448</v>
      </c>
      <c r="K349" s="172">
        <f t="shared" si="136"/>
        <v>0.52687499999999998</v>
      </c>
      <c r="L349" s="172">
        <f t="shared" si="136"/>
        <v>0.46499999999999997</v>
      </c>
      <c r="M349" s="172">
        <f t="shared" si="136"/>
        <v>0.27455555555555555</v>
      </c>
      <c r="N349" s="172">
        <f t="shared" si="136"/>
        <v>0.81616666666666671</v>
      </c>
      <c r="O349" s="172">
        <f t="shared" si="136"/>
        <v>0.4684916666666667</v>
      </c>
      <c r="P349" s="172">
        <f t="shared" si="136"/>
        <v>0.87888333333333335</v>
      </c>
      <c r="Q349" s="172">
        <f t="shared" si="136"/>
        <v>0.42685714285714293</v>
      </c>
      <c r="R349" s="172">
        <f t="shared" si="136"/>
        <v>1.3669999999999998</v>
      </c>
      <c r="S349" s="172">
        <f t="shared" si="136"/>
        <v>0.90643333333333331</v>
      </c>
      <c r="T349" s="172">
        <f t="shared" si="136"/>
        <v>0.83666666666666656</v>
      </c>
    </row>
    <row r="350" spans="2:20" s="154" customFormat="1" ht="18" customHeight="1">
      <c r="B350" s="311" t="s">
        <v>412</v>
      </c>
      <c r="C350" s="311"/>
      <c r="D350" s="311"/>
      <c r="E350" s="311"/>
      <c r="F350" s="174">
        <f>(F193+F228+F262+F298+F330)/5</f>
        <v>21.776</v>
      </c>
      <c r="G350" s="174">
        <f t="shared" ref="G350:T350" si="137">(G193+G228+G262+G298+G330)/5</f>
        <v>23.09</v>
      </c>
      <c r="H350" s="174">
        <f t="shared" si="137"/>
        <v>82.354000000000013</v>
      </c>
      <c r="I350" s="174">
        <f t="shared" si="137"/>
        <v>624.2879999999999</v>
      </c>
      <c r="J350" s="174">
        <f t="shared" si="137"/>
        <v>0.31080000000000002</v>
      </c>
      <c r="K350" s="174">
        <f t="shared" si="137"/>
        <v>0.36300000000000004</v>
      </c>
      <c r="L350" s="174">
        <f t="shared" si="137"/>
        <v>15.222000000000003</v>
      </c>
      <c r="M350" s="174">
        <f t="shared" si="137"/>
        <v>0.11785999999999999</v>
      </c>
      <c r="N350" s="174">
        <f t="shared" si="137"/>
        <v>2.4609999999999999</v>
      </c>
      <c r="O350" s="174">
        <f t="shared" si="137"/>
        <v>261.24200000000002</v>
      </c>
      <c r="P350" s="174">
        <f t="shared" si="137"/>
        <v>403.79599999999994</v>
      </c>
      <c r="Q350" s="174">
        <f t="shared" si="137"/>
        <v>2.3073999999999999</v>
      </c>
      <c r="R350" s="174">
        <f t="shared" si="137"/>
        <v>6.3399999999999998E-2</v>
      </c>
      <c r="S350" s="174">
        <f t="shared" si="137"/>
        <v>78.063999999999993</v>
      </c>
      <c r="T350" s="174">
        <f t="shared" si="137"/>
        <v>5.0819999999999999</v>
      </c>
    </row>
    <row r="351" spans="2:20" s="154" customFormat="1" ht="18" customHeight="1">
      <c r="B351" s="311" t="s">
        <v>276</v>
      </c>
      <c r="C351" s="311"/>
      <c r="D351" s="311"/>
      <c r="E351" s="311"/>
      <c r="F351" s="153">
        <v>90</v>
      </c>
      <c r="G351" s="153">
        <v>92</v>
      </c>
      <c r="H351" s="153">
        <v>383</v>
      </c>
      <c r="I351" s="153">
        <v>2720</v>
      </c>
      <c r="J351" s="153">
        <v>1.4</v>
      </c>
      <c r="K351" s="153">
        <v>1.6</v>
      </c>
      <c r="L351" s="153">
        <v>70</v>
      </c>
      <c r="M351" s="153">
        <v>0.9</v>
      </c>
      <c r="N351" s="153">
        <v>12</v>
      </c>
      <c r="O351" s="153">
        <v>1200</v>
      </c>
      <c r="P351" s="153">
        <v>1200</v>
      </c>
      <c r="Q351" s="153">
        <v>14</v>
      </c>
      <c r="R351" s="153">
        <v>0.1</v>
      </c>
      <c r="S351" s="153">
        <v>300</v>
      </c>
      <c r="T351" s="153">
        <v>18</v>
      </c>
    </row>
    <row r="352" spans="2:20" s="154" customFormat="1" ht="18" customHeight="1">
      <c r="B352" s="311" t="s">
        <v>265</v>
      </c>
      <c r="C352" s="311"/>
      <c r="D352" s="311"/>
      <c r="E352" s="311"/>
      <c r="F352" s="172">
        <f>F350/F351</f>
        <v>0.24195555555555556</v>
      </c>
      <c r="G352" s="172">
        <f t="shared" ref="G352" si="138">G350/G351</f>
        <v>0.25097826086956521</v>
      </c>
      <c r="H352" s="172">
        <f t="shared" ref="H352" si="139">H350/H351</f>
        <v>0.21502349869451701</v>
      </c>
      <c r="I352" s="172">
        <f t="shared" ref="I352" si="140">I350/I351</f>
        <v>0.22951764705882349</v>
      </c>
      <c r="J352" s="172">
        <f t="shared" ref="J352" si="141">J350/J351</f>
        <v>0.22200000000000003</v>
      </c>
      <c r="K352" s="172">
        <f t="shared" ref="K352" si="142">K350/K351</f>
        <v>0.22687500000000002</v>
      </c>
      <c r="L352" s="172">
        <f t="shared" ref="L352" si="143">L350/L351</f>
        <v>0.2174571428571429</v>
      </c>
      <c r="M352" s="172">
        <f t="shared" ref="M352" si="144">M350/M351</f>
        <v>0.13095555555555555</v>
      </c>
      <c r="N352" s="172">
        <f t="shared" ref="N352" si="145">N350/N351</f>
        <v>0.20508333333333331</v>
      </c>
      <c r="O352" s="172">
        <f t="shared" ref="O352" si="146">O350/O351</f>
        <v>0.21770166666666668</v>
      </c>
      <c r="P352" s="172">
        <f t="shared" ref="P352" si="147">P350/P351</f>
        <v>0.33649666666666661</v>
      </c>
      <c r="Q352" s="172">
        <f t="shared" ref="Q352" si="148">Q350/Q351</f>
        <v>0.16481428571428572</v>
      </c>
      <c r="R352" s="172">
        <f t="shared" ref="R352" si="149">R350/R351</f>
        <v>0.6339999999999999</v>
      </c>
      <c r="S352" s="172">
        <f t="shared" ref="S352" si="150">S350/S351</f>
        <v>0.2602133333333333</v>
      </c>
      <c r="T352" s="172">
        <f t="shared" ref="T352" si="151">T350/T351</f>
        <v>0.28233333333333333</v>
      </c>
    </row>
    <row r="353" spans="2:20">
      <c r="B353" s="311" t="s">
        <v>411</v>
      </c>
      <c r="C353" s="311"/>
      <c r="D353" s="311"/>
      <c r="E353" s="311"/>
      <c r="F353" s="174">
        <f>(F204+F238+F272+F308+F340)/5</f>
        <v>33.956000000000003</v>
      </c>
      <c r="G353" s="174">
        <f t="shared" ref="G353:T353" si="152">(G204+G238+G272+G308+G340)/5</f>
        <v>29.975199999999994</v>
      </c>
      <c r="H353" s="174">
        <f t="shared" si="152"/>
        <v>105.542</v>
      </c>
      <c r="I353" s="174">
        <f t="shared" si="152"/>
        <v>827.05880000000002</v>
      </c>
      <c r="J353" s="174">
        <f t="shared" si="152"/>
        <v>0.67759999999999998</v>
      </c>
      <c r="K353" s="174">
        <f t="shared" si="152"/>
        <v>0.44720000000000004</v>
      </c>
      <c r="L353" s="174">
        <f t="shared" si="152"/>
        <v>42.130399999999995</v>
      </c>
      <c r="M353" s="174">
        <f t="shared" si="152"/>
        <v>0.81102000000000007</v>
      </c>
      <c r="N353" s="174">
        <f t="shared" si="152"/>
        <v>5.6036000000000001</v>
      </c>
      <c r="O353" s="174">
        <f t="shared" si="152"/>
        <v>176.35399999999998</v>
      </c>
      <c r="P353" s="174">
        <f t="shared" si="152"/>
        <v>361.49599999999998</v>
      </c>
      <c r="Q353" s="174">
        <f t="shared" si="152"/>
        <v>4.1108000000000002</v>
      </c>
      <c r="R353" s="174">
        <f t="shared" si="152"/>
        <v>2.1940000000000001E-2</v>
      </c>
      <c r="S353" s="174">
        <f t="shared" si="152"/>
        <v>130.78200000000001</v>
      </c>
      <c r="T353" s="174">
        <f t="shared" si="152"/>
        <v>7.2379999999999995</v>
      </c>
    </row>
    <row r="354" spans="2:20">
      <c r="B354" s="311" t="s">
        <v>276</v>
      </c>
      <c r="C354" s="311"/>
      <c r="D354" s="311"/>
      <c r="E354" s="311"/>
      <c r="F354" s="153">
        <v>90</v>
      </c>
      <c r="G354" s="153">
        <v>92</v>
      </c>
      <c r="H354" s="153">
        <v>383</v>
      </c>
      <c r="I354" s="153">
        <v>2720</v>
      </c>
      <c r="J354" s="153">
        <v>1.4</v>
      </c>
      <c r="K354" s="153">
        <v>1.6</v>
      </c>
      <c r="L354" s="153">
        <v>70</v>
      </c>
      <c r="M354" s="153">
        <v>0.9</v>
      </c>
      <c r="N354" s="153">
        <v>12</v>
      </c>
      <c r="O354" s="153">
        <v>1200</v>
      </c>
      <c r="P354" s="153">
        <v>1200</v>
      </c>
      <c r="Q354" s="153">
        <v>14</v>
      </c>
      <c r="R354" s="153">
        <v>0.1</v>
      </c>
      <c r="S354" s="153">
        <v>300</v>
      </c>
      <c r="T354" s="153">
        <v>18</v>
      </c>
    </row>
    <row r="355" spans="2:20">
      <c r="B355" s="311" t="s">
        <v>265</v>
      </c>
      <c r="C355" s="311"/>
      <c r="D355" s="311"/>
      <c r="E355" s="311"/>
      <c r="F355" s="172">
        <f>F353/F354</f>
        <v>0.3772888888888889</v>
      </c>
      <c r="G355" s="172">
        <f t="shared" ref="G355" si="153">G353/G354</f>
        <v>0.32581739130434778</v>
      </c>
      <c r="H355" s="172">
        <f t="shared" ref="H355" si="154">H353/H354</f>
        <v>0.27556657963446474</v>
      </c>
      <c r="I355" s="172">
        <f t="shared" ref="I355" si="155">I353/I354</f>
        <v>0.30406573529411768</v>
      </c>
      <c r="J355" s="172">
        <f t="shared" ref="J355" si="156">J353/J354</f>
        <v>0.48400000000000004</v>
      </c>
      <c r="K355" s="172">
        <f t="shared" ref="K355" si="157">K353/K354</f>
        <v>0.27950000000000003</v>
      </c>
      <c r="L355" s="172">
        <f t="shared" ref="L355" si="158">L353/L354</f>
        <v>0.60186285714285703</v>
      </c>
      <c r="M355" s="172">
        <f t="shared" ref="M355" si="159">M353/M354</f>
        <v>0.90113333333333334</v>
      </c>
      <c r="N355" s="172">
        <f t="shared" ref="N355" si="160">N353/N354</f>
        <v>0.4669666666666667</v>
      </c>
      <c r="O355" s="172">
        <f t="shared" ref="O355" si="161">O353/O354</f>
        <v>0.14696166666666666</v>
      </c>
      <c r="P355" s="172">
        <f t="shared" ref="P355" si="162">P353/P354</f>
        <v>0.30124666666666666</v>
      </c>
      <c r="Q355" s="172">
        <f t="shared" ref="Q355" si="163">Q353/Q354</f>
        <v>0.29362857142857146</v>
      </c>
      <c r="R355" s="172">
        <f t="shared" ref="R355" si="164">R353/R354</f>
        <v>0.21940000000000001</v>
      </c>
      <c r="S355" s="172">
        <f t="shared" ref="S355" si="165">S353/S354</f>
        <v>0.43594000000000005</v>
      </c>
      <c r="T355" s="172">
        <f t="shared" ref="T355" si="166">T353/T354</f>
        <v>0.40211111111111109</v>
      </c>
    </row>
    <row r="356" spans="2:20">
      <c r="B356" s="311" t="s">
        <v>413</v>
      </c>
      <c r="C356" s="311"/>
      <c r="D356" s="311"/>
      <c r="E356" s="311"/>
      <c r="F356" s="174">
        <f>(F209+F243+F277+F313+F345)/5</f>
        <v>7.58</v>
      </c>
      <c r="G356" s="174">
        <f t="shared" ref="G356:T356" si="167">(G209+G243+G277+G313+G345)/5</f>
        <v>6.3959999999999999</v>
      </c>
      <c r="H356" s="174">
        <f t="shared" si="167"/>
        <v>62.519999999999996</v>
      </c>
      <c r="I356" s="174">
        <f t="shared" si="167"/>
        <v>337.46400000000006</v>
      </c>
      <c r="J356" s="174">
        <f t="shared" si="167"/>
        <v>8.4000000000000005E-2</v>
      </c>
      <c r="K356" s="174">
        <f t="shared" si="167"/>
        <v>8.199999999999999E-2</v>
      </c>
      <c r="L356" s="174">
        <f t="shared" si="167"/>
        <v>2.504</v>
      </c>
      <c r="M356" s="174">
        <f t="shared" si="167"/>
        <v>8.4020000000000011E-2</v>
      </c>
      <c r="N356" s="174">
        <f t="shared" si="167"/>
        <v>2.0999999999999998E-2</v>
      </c>
      <c r="O356" s="174">
        <f t="shared" si="167"/>
        <v>40.238000000000007</v>
      </c>
      <c r="P356" s="174">
        <f t="shared" si="167"/>
        <v>57.04</v>
      </c>
      <c r="Q356" s="174">
        <f t="shared" si="167"/>
        <v>5.0000000000000001E-3</v>
      </c>
      <c r="R356" s="174">
        <f t="shared" si="167"/>
        <v>0</v>
      </c>
      <c r="S356" s="174">
        <f t="shared" si="167"/>
        <v>15.594000000000003</v>
      </c>
      <c r="T356" s="174">
        <f t="shared" si="167"/>
        <v>1.5080000000000002</v>
      </c>
    </row>
    <row r="357" spans="2:20">
      <c r="B357" s="311" t="s">
        <v>276</v>
      </c>
      <c r="C357" s="311"/>
      <c r="D357" s="311"/>
      <c r="E357" s="311"/>
      <c r="F357" s="153">
        <v>90</v>
      </c>
      <c r="G357" s="153">
        <v>92</v>
      </c>
      <c r="H357" s="153">
        <v>383</v>
      </c>
      <c r="I357" s="153">
        <v>2720</v>
      </c>
      <c r="J357" s="153">
        <v>1.4</v>
      </c>
      <c r="K357" s="153">
        <v>1.6</v>
      </c>
      <c r="L357" s="153">
        <v>70</v>
      </c>
      <c r="M357" s="153">
        <v>0.9</v>
      </c>
      <c r="N357" s="153">
        <v>12</v>
      </c>
      <c r="O357" s="153">
        <v>1200</v>
      </c>
      <c r="P357" s="153">
        <v>1200</v>
      </c>
      <c r="Q357" s="153">
        <v>14</v>
      </c>
      <c r="R357" s="153">
        <v>0.1</v>
      </c>
      <c r="S357" s="153">
        <v>300</v>
      </c>
      <c r="T357" s="153">
        <v>18</v>
      </c>
    </row>
    <row r="358" spans="2:20">
      <c r="B358" s="311" t="s">
        <v>265</v>
      </c>
      <c r="C358" s="311"/>
      <c r="D358" s="311"/>
      <c r="E358" s="311"/>
      <c r="F358" s="172">
        <f>F356/F357</f>
        <v>8.4222222222222226E-2</v>
      </c>
      <c r="G358" s="172">
        <f t="shared" ref="G358" si="168">G356/G357</f>
        <v>6.9521739130434787E-2</v>
      </c>
      <c r="H358" s="172">
        <f t="shared" ref="H358" si="169">H356/H357</f>
        <v>0.16323759791122713</v>
      </c>
      <c r="I358" s="172">
        <f t="shared" ref="I358" si="170">I356/I357</f>
        <v>0.12406764705882355</v>
      </c>
      <c r="J358" s="172">
        <f t="shared" ref="J358" si="171">J356/J357</f>
        <v>6.0000000000000005E-2</v>
      </c>
      <c r="K358" s="172">
        <f t="shared" ref="K358" si="172">K356/K357</f>
        <v>5.124999999999999E-2</v>
      </c>
      <c r="L358" s="172">
        <f t="shared" ref="L358" si="173">L356/L357</f>
        <v>3.5771428571428572E-2</v>
      </c>
      <c r="M358" s="172">
        <f t="shared" ref="M358" si="174">M356/M357</f>
        <v>9.3355555555555567E-2</v>
      </c>
      <c r="N358" s="172">
        <f t="shared" ref="N358" si="175">N356/N357</f>
        <v>1.7499999999999998E-3</v>
      </c>
      <c r="O358" s="172">
        <f t="shared" ref="O358" si="176">O356/O357</f>
        <v>3.3531666666666675E-2</v>
      </c>
      <c r="P358" s="172">
        <f t="shared" ref="P358" si="177">P356/P357</f>
        <v>4.753333333333333E-2</v>
      </c>
      <c r="Q358" s="172">
        <f t="shared" ref="Q358" si="178">Q356/Q357</f>
        <v>3.5714285714285714E-4</v>
      </c>
      <c r="R358" s="172">
        <f t="shared" ref="R358" si="179">R356/R357</f>
        <v>0</v>
      </c>
      <c r="S358" s="172">
        <f t="shared" ref="S358" si="180">S356/S357</f>
        <v>5.1980000000000012E-2</v>
      </c>
      <c r="T358" s="172">
        <f t="shared" ref="T358" si="181">T356/T357</f>
        <v>8.3777777777777784E-2</v>
      </c>
    </row>
    <row r="359" spans="2:20">
      <c r="B359" s="311" t="s">
        <v>414</v>
      </c>
      <c r="C359" s="311"/>
      <c r="D359" s="311"/>
      <c r="E359" s="311"/>
      <c r="F359" s="174">
        <f>F350+F353+F356</f>
        <v>63.311999999999998</v>
      </c>
      <c r="G359" s="174">
        <f t="shared" ref="G359:T359" si="182">G350+G353+G356</f>
        <v>59.461199999999991</v>
      </c>
      <c r="H359" s="174">
        <f t="shared" si="182"/>
        <v>250.416</v>
      </c>
      <c r="I359" s="174">
        <f t="shared" si="182"/>
        <v>1788.8107999999997</v>
      </c>
      <c r="J359" s="174">
        <f t="shared" si="182"/>
        <v>1.0724</v>
      </c>
      <c r="K359" s="174">
        <f t="shared" si="182"/>
        <v>0.89219999999999999</v>
      </c>
      <c r="L359" s="174">
        <f t="shared" si="182"/>
        <v>59.856399999999994</v>
      </c>
      <c r="M359" s="174">
        <f t="shared" si="182"/>
        <v>1.0129000000000001</v>
      </c>
      <c r="N359" s="174">
        <f t="shared" si="182"/>
        <v>8.0856000000000012</v>
      </c>
      <c r="O359" s="174">
        <f t="shared" si="182"/>
        <v>477.834</v>
      </c>
      <c r="P359" s="174">
        <f t="shared" si="182"/>
        <v>822.33199999999988</v>
      </c>
      <c r="Q359" s="174">
        <f t="shared" si="182"/>
        <v>6.4232000000000005</v>
      </c>
      <c r="R359" s="174">
        <f t="shared" si="182"/>
        <v>8.5339999999999999E-2</v>
      </c>
      <c r="S359" s="174">
        <f t="shared" si="182"/>
        <v>224.44</v>
      </c>
      <c r="T359" s="174">
        <f t="shared" si="182"/>
        <v>13.828000000000001</v>
      </c>
    </row>
    <row r="360" spans="2:20">
      <c r="B360" s="311" t="s">
        <v>276</v>
      </c>
      <c r="C360" s="311"/>
      <c r="D360" s="311"/>
      <c r="E360" s="311"/>
      <c r="F360" s="153">
        <v>90</v>
      </c>
      <c r="G360" s="153">
        <v>92</v>
      </c>
      <c r="H360" s="153">
        <v>383</v>
      </c>
      <c r="I360" s="153">
        <v>2720</v>
      </c>
      <c r="J360" s="153">
        <v>1.4</v>
      </c>
      <c r="K360" s="153">
        <v>1.6</v>
      </c>
      <c r="L360" s="153">
        <v>70</v>
      </c>
      <c r="M360" s="153">
        <v>0.9</v>
      </c>
      <c r="N360" s="153">
        <v>12</v>
      </c>
      <c r="O360" s="153">
        <v>1200</v>
      </c>
      <c r="P360" s="153">
        <v>1200</v>
      </c>
      <c r="Q360" s="153">
        <v>14</v>
      </c>
      <c r="R360" s="153">
        <v>0.1</v>
      </c>
      <c r="S360" s="153">
        <v>300</v>
      </c>
      <c r="T360" s="153">
        <v>18</v>
      </c>
    </row>
    <row r="361" spans="2:20">
      <c r="B361" s="311" t="s">
        <v>265</v>
      </c>
      <c r="C361" s="311"/>
      <c r="D361" s="311"/>
      <c r="E361" s="311"/>
      <c r="F361" s="172">
        <f>F359/F360</f>
        <v>0.70346666666666668</v>
      </c>
      <c r="G361" s="172">
        <f t="shared" ref="G361" si="183">G359/G360</f>
        <v>0.64631739130434773</v>
      </c>
      <c r="H361" s="172">
        <f t="shared" ref="H361" si="184">H359/H360</f>
        <v>0.65382767624020888</v>
      </c>
      <c r="I361" s="172">
        <f t="shared" ref="I361" si="185">I359/I360</f>
        <v>0.65765102941176456</v>
      </c>
      <c r="J361" s="172">
        <f t="shared" ref="J361" si="186">J359/J360</f>
        <v>0.76600000000000001</v>
      </c>
      <c r="K361" s="172">
        <f t="shared" ref="K361" si="187">K359/K360</f>
        <v>0.55762499999999993</v>
      </c>
      <c r="L361" s="172">
        <f t="shared" ref="L361" si="188">L359/L360</f>
        <v>0.8550914285714285</v>
      </c>
      <c r="M361" s="172">
        <f t="shared" ref="M361" si="189">M359/M360</f>
        <v>1.1254444444444445</v>
      </c>
      <c r="N361" s="172">
        <f t="shared" ref="N361" si="190">N359/N360</f>
        <v>0.67380000000000007</v>
      </c>
      <c r="O361" s="172">
        <f t="shared" ref="O361" si="191">O359/O360</f>
        <v>0.39819500000000002</v>
      </c>
      <c r="P361" s="172">
        <f t="shared" ref="P361" si="192">P359/P360</f>
        <v>0.68527666666666653</v>
      </c>
      <c r="Q361" s="172">
        <f t="shared" ref="Q361" si="193">Q359/Q360</f>
        <v>0.45880000000000004</v>
      </c>
      <c r="R361" s="172">
        <f t="shared" ref="R361" si="194">R359/R360</f>
        <v>0.85339999999999994</v>
      </c>
      <c r="S361" s="172">
        <f t="shared" ref="S361" si="195">S359/S360</f>
        <v>0.74813333333333332</v>
      </c>
      <c r="T361" s="172">
        <f t="shared" ref="T361" si="196">T359/T360</f>
        <v>0.76822222222222225</v>
      </c>
    </row>
  </sheetData>
  <mergeCells count="442">
    <mergeCell ref="B353:E353"/>
    <mergeCell ref="B354:E354"/>
    <mergeCell ref="B355:E355"/>
    <mergeCell ref="B356:E356"/>
    <mergeCell ref="B357:E357"/>
    <mergeCell ref="B350:E350"/>
    <mergeCell ref="B351:E351"/>
    <mergeCell ref="B352:E352"/>
    <mergeCell ref="B346:E346"/>
    <mergeCell ref="B347:E347"/>
    <mergeCell ref="B348:E348"/>
    <mergeCell ref="B349:E349"/>
    <mergeCell ref="B340:D340"/>
    <mergeCell ref="B341:E341"/>
    <mergeCell ref="B342:T342"/>
    <mergeCell ref="C343:D343"/>
    <mergeCell ref="C344:D344"/>
    <mergeCell ref="B345:D345"/>
    <mergeCell ref="C334:D334"/>
    <mergeCell ref="C335:D335"/>
    <mergeCell ref="C336:D336"/>
    <mergeCell ref="C337:D337"/>
    <mergeCell ref="C338:D338"/>
    <mergeCell ref="C339:D339"/>
    <mergeCell ref="C329:D329"/>
    <mergeCell ref="B330:D330"/>
    <mergeCell ref="B331:E331"/>
    <mergeCell ref="B332:T332"/>
    <mergeCell ref="C333:D333"/>
    <mergeCell ref="B325:T325"/>
    <mergeCell ref="C326:D326"/>
    <mergeCell ref="C327:D327"/>
    <mergeCell ref="C328:D328"/>
    <mergeCell ref="C322:D323"/>
    <mergeCell ref="E322:E323"/>
    <mergeCell ref="F322:H322"/>
    <mergeCell ref="J322:N322"/>
    <mergeCell ref="O322:T322"/>
    <mergeCell ref="C324:D324"/>
    <mergeCell ref="B313:D313"/>
    <mergeCell ref="B320:C320"/>
    <mergeCell ref="G320:I320"/>
    <mergeCell ref="L320:M320"/>
    <mergeCell ref="N320:Q320"/>
    <mergeCell ref="E321:F321"/>
    <mergeCell ref="L321:M321"/>
    <mergeCell ref="N321:T321"/>
    <mergeCell ref="B314:E314"/>
    <mergeCell ref="B315:E315"/>
    <mergeCell ref="B316:E316"/>
    <mergeCell ref="B317:E317"/>
    <mergeCell ref="M318:T318"/>
    <mergeCell ref="B319:T319"/>
    <mergeCell ref="B308:D308"/>
    <mergeCell ref="B309:E309"/>
    <mergeCell ref="B310:T310"/>
    <mergeCell ref="C311:D311"/>
    <mergeCell ref="C312:D312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B299:E299"/>
    <mergeCell ref="B300:T300"/>
    <mergeCell ref="C301:D301"/>
    <mergeCell ref="B290:T290"/>
    <mergeCell ref="C291:D291"/>
    <mergeCell ref="C292:D292"/>
    <mergeCell ref="C293:D293"/>
    <mergeCell ref="C294:D294"/>
    <mergeCell ref="C295:D295"/>
    <mergeCell ref="B298:D298"/>
    <mergeCell ref="C287:D288"/>
    <mergeCell ref="E287:E288"/>
    <mergeCell ref="F287:H287"/>
    <mergeCell ref="J287:N287"/>
    <mergeCell ref="O287:T287"/>
    <mergeCell ref="C289:D289"/>
    <mergeCell ref="B285:C285"/>
    <mergeCell ref="G285:I285"/>
    <mergeCell ref="L285:M285"/>
    <mergeCell ref="N285:Q285"/>
    <mergeCell ref="E286:F286"/>
    <mergeCell ref="L286:M286"/>
    <mergeCell ref="N286:T286"/>
    <mergeCell ref="B279:E279"/>
    <mergeCell ref="B280:E280"/>
    <mergeCell ref="B281:E281"/>
    <mergeCell ref="B282:J282"/>
    <mergeCell ref="M282:T282"/>
    <mergeCell ref="B284:T284"/>
    <mergeCell ref="B274:T274"/>
    <mergeCell ref="C275:D275"/>
    <mergeCell ref="C276:D276"/>
    <mergeCell ref="B278:E278"/>
    <mergeCell ref="B277:D277"/>
    <mergeCell ref="C268:D268"/>
    <mergeCell ref="C269:D269"/>
    <mergeCell ref="C270:D270"/>
    <mergeCell ref="C271:D271"/>
    <mergeCell ref="B272:D272"/>
    <mergeCell ref="B273:E273"/>
    <mergeCell ref="B262:D262"/>
    <mergeCell ref="B263:E263"/>
    <mergeCell ref="B264:T264"/>
    <mergeCell ref="C265:D265"/>
    <mergeCell ref="C266:D266"/>
    <mergeCell ref="C267:D267"/>
    <mergeCell ref="B256:T256"/>
    <mergeCell ref="C257:D257"/>
    <mergeCell ref="C258:D258"/>
    <mergeCell ref="C259:D259"/>
    <mergeCell ref="C260:D260"/>
    <mergeCell ref="C261:D261"/>
    <mergeCell ref="C253:D254"/>
    <mergeCell ref="E253:E254"/>
    <mergeCell ref="F253:H253"/>
    <mergeCell ref="J253:N253"/>
    <mergeCell ref="O253:T253"/>
    <mergeCell ref="C255:D255"/>
    <mergeCell ref="B243:D243"/>
    <mergeCell ref="B250:T250"/>
    <mergeCell ref="B251:C251"/>
    <mergeCell ref="G251:I251"/>
    <mergeCell ref="L251:M251"/>
    <mergeCell ref="N251:Q251"/>
    <mergeCell ref="E252:F252"/>
    <mergeCell ref="L252:M252"/>
    <mergeCell ref="N252:T252"/>
    <mergeCell ref="B244:E244"/>
    <mergeCell ref="B245:E245"/>
    <mergeCell ref="B246:E246"/>
    <mergeCell ref="B247:E247"/>
    <mergeCell ref="B248:J248"/>
    <mergeCell ref="M248:T248"/>
    <mergeCell ref="B239:E239"/>
    <mergeCell ref="B240:T240"/>
    <mergeCell ref="C241:D241"/>
    <mergeCell ref="C242:D242"/>
    <mergeCell ref="C233:D233"/>
    <mergeCell ref="C234:D234"/>
    <mergeCell ref="C235:D235"/>
    <mergeCell ref="C236:D236"/>
    <mergeCell ref="C237:D237"/>
    <mergeCell ref="B238:D238"/>
    <mergeCell ref="C227:D227"/>
    <mergeCell ref="B229:E229"/>
    <mergeCell ref="B230:T230"/>
    <mergeCell ref="C231:D231"/>
    <mergeCell ref="C232:D232"/>
    <mergeCell ref="B221:T221"/>
    <mergeCell ref="C222:D222"/>
    <mergeCell ref="C223:D223"/>
    <mergeCell ref="C224:D224"/>
    <mergeCell ref="C225:D225"/>
    <mergeCell ref="C226:D226"/>
    <mergeCell ref="B228:D228"/>
    <mergeCell ref="C220:D220"/>
    <mergeCell ref="B215:T215"/>
    <mergeCell ref="B216:C216"/>
    <mergeCell ref="G216:I216"/>
    <mergeCell ref="L216:M216"/>
    <mergeCell ref="N216:Q216"/>
    <mergeCell ref="E217:F217"/>
    <mergeCell ref="L217:M217"/>
    <mergeCell ref="N217:T217"/>
    <mergeCell ref="B212:E212"/>
    <mergeCell ref="B213:E213"/>
    <mergeCell ref="M214:T214"/>
    <mergeCell ref="B204:D204"/>
    <mergeCell ref="B205:E205"/>
    <mergeCell ref="B206:T206"/>
    <mergeCell ref="C207:D207"/>
    <mergeCell ref="C208:D208"/>
    <mergeCell ref="C218:D219"/>
    <mergeCell ref="E218:E219"/>
    <mergeCell ref="F218:H218"/>
    <mergeCell ref="J218:N218"/>
    <mergeCell ref="O218:T218"/>
    <mergeCell ref="C203:D203"/>
    <mergeCell ref="C192:D192"/>
    <mergeCell ref="B193:D193"/>
    <mergeCell ref="B194:E194"/>
    <mergeCell ref="B195:T195"/>
    <mergeCell ref="C197:D197"/>
    <mergeCell ref="B210:E210"/>
    <mergeCell ref="C196:D196"/>
    <mergeCell ref="B211:E211"/>
    <mergeCell ref="B182:C182"/>
    <mergeCell ref="G182:I182"/>
    <mergeCell ref="L182:M182"/>
    <mergeCell ref="N182:Q182"/>
    <mergeCell ref="C200:D200"/>
    <mergeCell ref="C201:D201"/>
    <mergeCell ref="B209:D209"/>
    <mergeCell ref="C186:D186"/>
    <mergeCell ref="B187:T187"/>
    <mergeCell ref="C188:D188"/>
    <mergeCell ref="C189:D189"/>
    <mergeCell ref="C190:D190"/>
    <mergeCell ref="C191:D191"/>
    <mergeCell ref="E183:F183"/>
    <mergeCell ref="L183:M183"/>
    <mergeCell ref="N183:T183"/>
    <mergeCell ref="C184:D185"/>
    <mergeCell ref="E184:E185"/>
    <mergeCell ref="F184:H184"/>
    <mergeCell ref="J184:N184"/>
    <mergeCell ref="O184:T184"/>
    <mergeCell ref="C198:D198"/>
    <mergeCell ref="C199:D199"/>
    <mergeCell ref="C202:D202"/>
    <mergeCell ref="B164:E164"/>
    <mergeCell ref="B165:E165"/>
    <mergeCell ref="B166:E166"/>
    <mergeCell ref="B167:E167"/>
    <mergeCell ref="M180:T180"/>
    <mergeCell ref="B181:T181"/>
    <mergeCell ref="B158:D158"/>
    <mergeCell ref="B159:E159"/>
    <mergeCell ref="B160:T160"/>
    <mergeCell ref="C161:D161"/>
    <mergeCell ref="C162:D162"/>
    <mergeCell ref="B163:D163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B148:D148"/>
    <mergeCell ref="B149:E149"/>
    <mergeCell ref="B150:T150"/>
    <mergeCell ref="C151:D151"/>
    <mergeCell ref="B131:D131"/>
    <mergeCell ref="B143:T143"/>
    <mergeCell ref="C144:D144"/>
    <mergeCell ref="C145:D145"/>
    <mergeCell ref="C140:D141"/>
    <mergeCell ref="E140:E141"/>
    <mergeCell ref="F140:H140"/>
    <mergeCell ref="J140:N140"/>
    <mergeCell ref="O140:T140"/>
    <mergeCell ref="C142:D142"/>
    <mergeCell ref="B137:T137"/>
    <mergeCell ref="B138:C138"/>
    <mergeCell ref="G138:I138"/>
    <mergeCell ref="L138:M138"/>
    <mergeCell ref="N138:Q138"/>
    <mergeCell ref="E139:F139"/>
    <mergeCell ref="L139:M139"/>
    <mergeCell ref="N139:T139"/>
    <mergeCell ref="B132:E132"/>
    <mergeCell ref="B133:E133"/>
    <mergeCell ref="B134:E134"/>
    <mergeCell ref="B135:E135"/>
    <mergeCell ref="M136:T136"/>
    <mergeCell ref="B126:D126"/>
    <mergeCell ref="B127:E127"/>
    <mergeCell ref="B128:T128"/>
    <mergeCell ref="C129:D129"/>
    <mergeCell ref="C130:D130"/>
    <mergeCell ref="C120:D120"/>
    <mergeCell ref="C121:D121"/>
    <mergeCell ref="C122:D122"/>
    <mergeCell ref="C123:D123"/>
    <mergeCell ref="C124:D124"/>
    <mergeCell ref="C125:D125"/>
    <mergeCell ref="C115:D115"/>
    <mergeCell ref="B117:E117"/>
    <mergeCell ref="B118:T118"/>
    <mergeCell ref="C119:D119"/>
    <mergeCell ref="C109:D109"/>
    <mergeCell ref="B110:T110"/>
    <mergeCell ref="C111:D111"/>
    <mergeCell ref="C112:D112"/>
    <mergeCell ref="C113:D113"/>
    <mergeCell ref="C114:D114"/>
    <mergeCell ref="B116:D116"/>
    <mergeCell ref="E106:F106"/>
    <mergeCell ref="L106:M106"/>
    <mergeCell ref="N106:T106"/>
    <mergeCell ref="C107:D108"/>
    <mergeCell ref="E107:E108"/>
    <mergeCell ref="F107:H107"/>
    <mergeCell ref="J107:N107"/>
    <mergeCell ref="O107:T107"/>
    <mergeCell ref="B101:E101"/>
    <mergeCell ref="B102:E102"/>
    <mergeCell ref="M103:T103"/>
    <mergeCell ref="B104:T104"/>
    <mergeCell ref="B105:C105"/>
    <mergeCell ref="G105:I105"/>
    <mergeCell ref="L105:M105"/>
    <mergeCell ref="N105:Q105"/>
    <mergeCell ref="B95:T95"/>
    <mergeCell ref="C96:D96"/>
    <mergeCell ref="C97:D97"/>
    <mergeCell ref="B99:E99"/>
    <mergeCell ref="B100:E100"/>
    <mergeCell ref="C89:D89"/>
    <mergeCell ref="C90:D90"/>
    <mergeCell ref="C91:D91"/>
    <mergeCell ref="C92:D92"/>
    <mergeCell ref="B93:D93"/>
    <mergeCell ref="B94:E94"/>
    <mergeCell ref="B83:D83"/>
    <mergeCell ref="B84:E84"/>
    <mergeCell ref="B85:T85"/>
    <mergeCell ref="C86:D86"/>
    <mergeCell ref="C87:D87"/>
    <mergeCell ref="C88:D88"/>
    <mergeCell ref="B76:T76"/>
    <mergeCell ref="C77:D77"/>
    <mergeCell ref="C78:D78"/>
    <mergeCell ref="C79:D79"/>
    <mergeCell ref="C81:D81"/>
    <mergeCell ref="C82:D82"/>
    <mergeCell ref="C80:D80"/>
    <mergeCell ref="C73:D74"/>
    <mergeCell ref="E73:E74"/>
    <mergeCell ref="F73:H73"/>
    <mergeCell ref="J73:N73"/>
    <mergeCell ref="O73:T73"/>
    <mergeCell ref="C75:D75"/>
    <mergeCell ref="B70:T70"/>
    <mergeCell ref="B71:C71"/>
    <mergeCell ref="G71:I71"/>
    <mergeCell ref="L71:M71"/>
    <mergeCell ref="N71:Q71"/>
    <mergeCell ref="E72:F72"/>
    <mergeCell ref="L72:M72"/>
    <mergeCell ref="N72:T72"/>
    <mergeCell ref="B65:E65"/>
    <mergeCell ref="B66:E66"/>
    <mergeCell ref="B67:E67"/>
    <mergeCell ref="B68:E68"/>
    <mergeCell ref="M69:T69"/>
    <mergeCell ref="B59:D59"/>
    <mergeCell ref="B60:E60"/>
    <mergeCell ref="B61:T61"/>
    <mergeCell ref="C62:D62"/>
    <mergeCell ref="C63:D63"/>
    <mergeCell ref="B64:D64"/>
    <mergeCell ref="C53:D53"/>
    <mergeCell ref="C54:D54"/>
    <mergeCell ref="C55:D55"/>
    <mergeCell ref="C56:D56"/>
    <mergeCell ref="C57:D57"/>
    <mergeCell ref="C58:D58"/>
    <mergeCell ref="C47:D47"/>
    <mergeCell ref="C48:D48"/>
    <mergeCell ref="B50:E50"/>
    <mergeCell ref="B51:T51"/>
    <mergeCell ref="C52:D52"/>
    <mergeCell ref="B49:D49"/>
    <mergeCell ref="C41:D41"/>
    <mergeCell ref="B42:T42"/>
    <mergeCell ref="C43:D43"/>
    <mergeCell ref="C44:D44"/>
    <mergeCell ref="C45:D45"/>
    <mergeCell ref="C46:D46"/>
    <mergeCell ref="E38:F38"/>
    <mergeCell ref="L38:M38"/>
    <mergeCell ref="N38:T38"/>
    <mergeCell ref="C39:D40"/>
    <mergeCell ref="E39:E40"/>
    <mergeCell ref="F39:H39"/>
    <mergeCell ref="J39:N39"/>
    <mergeCell ref="O39:T39"/>
    <mergeCell ref="B32:E32"/>
    <mergeCell ref="B33:E33"/>
    <mergeCell ref="B34:E34"/>
    <mergeCell ref="M35:T35"/>
    <mergeCell ref="B36:T36"/>
    <mergeCell ref="B37:C37"/>
    <mergeCell ref="G37:I37"/>
    <mergeCell ref="L37:M37"/>
    <mergeCell ref="N37:Q37"/>
    <mergeCell ref="B27:T27"/>
    <mergeCell ref="C28:D28"/>
    <mergeCell ref="C29:D29"/>
    <mergeCell ref="B31:E31"/>
    <mergeCell ref="C20:D20"/>
    <mergeCell ref="C21:D21"/>
    <mergeCell ref="C22:D22"/>
    <mergeCell ref="C23:D23"/>
    <mergeCell ref="C24:D24"/>
    <mergeCell ref="B26:E26"/>
    <mergeCell ref="B25:D25"/>
    <mergeCell ref="B30:D30"/>
    <mergeCell ref="C18:D18"/>
    <mergeCell ref="C19:D19"/>
    <mergeCell ref="C7:D7"/>
    <mergeCell ref="B8:T8"/>
    <mergeCell ref="C9:D9"/>
    <mergeCell ref="C10:D10"/>
    <mergeCell ref="C11:D11"/>
    <mergeCell ref="C12:D12"/>
    <mergeCell ref="B14:D14"/>
    <mergeCell ref="B358:E358"/>
    <mergeCell ref="B359:E359"/>
    <mergeCell ref="B360:E360"/>
    <mergeCell ref="B361:E361"/>
    <mergeCell ref="B4:D4"/>
    <mergeCell ref="M1:T1"/>
    <mergeCell ref="B2:T2"/>
    <mergeCell ref="B3:C3"/>
    <mergeCell ref="G3:I3"/>
    <mergeCell ref="L3:M3"/>
    <mergeCell ref="N3:Q3"/>
    <mergeCell ref="E4:F4"/>
    <mergeCell ref="L4:M4"/>
    <mergeCell ref="N4:T4"/>
    <mergeCell ref="B5:B6"/>
    <mergeCell ref="C5:D6"/>
    <mergeCell ref="E5:E6"/>
    <mergeCell ref="F5:H5"/>
    <mergeCell ref="J5:N5"/>
    <mergeCell ref="O5:T5"/>
    <mergeCell ref="C13:D13"/>
    <mergeCell ref="B15:E15"/>
    <mergeCell ref="B16:T16"/>
    <mergeCell ref="C17:D17"/>
  </mergeCells>
  <pageMargins left="0" right="0" top="0.15748031496062992" bottom="0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29"/>
  <sheetViews>
    <sheetView zoomScale="70" zoomScaleNormal="70" workbookViewId="0">
      <pane xSplit="4" ySplit="2" topLeftCell="E25" activePane="bottomRight" state="frozen"/>
      <selection pane="topRight" activeCell="E1" sqref="E1"/>
      <selection pane="bottomLeft" activeCell="A3" sqref="A3"/>
      <selection pane="bottomRight" activeCell="AD41" sqref="AD41"/>
    </sheetView>
  </sheetViews>
  <sheetFormatPr defaultRowHeight="15.75"/>
  <cols>
    <col min="1" max="1" width="15.85546875" style="13" customWidth="1"/>
    <col min="2" max="2" width="12.7109375" style="13" customWidth="1"/>
    <col min="3" max="3" width="23.140625" style="13" customWidth="1"/>
    <col min="4" max="4" width="7" style="1" customWidth="1"/>
    <col min="5" max="5" width="27.85546875" style="1" customWidth="1"/>
    <col min="6" max="9" width="0" style="1" hidden="1" customWidth="1"/>
    <col min="10" max="19" width="9.140625" style="1" hidden="1" customWidth="1"/>
    <col min="20" max="20" width="5.42578125" style="1" customWidth="1"/>
    <col min="21" max="21" width="6.85546875" style="1" customWidth="1"/>
    <col min="22" max="22" width="5.7109375" style="1" customWidth="1"/>
    <col min="23" max="23" width="4.7109375" style="1" customWidth="1"/>
    <col min="24" max="24" width="6.7109375" style="1" hidden="1" customWidth="1"/>
    <col min="25" max="25" width="1.140625" style="1" hidden="1" customWidth="1"/>
    <col min="26" max="26" width="6.140625" style="1" hidden="1" customWidth="1"/>
    <col min="27" max="27" width="9.140625" style="1" hidden="1" customWidth="1"/>
    <col min="28" max="28" width="6.7109375" style="1" hidden="1" customWidth="1"/>
    <col min="29" max="29" width="4.85546875" style="1" hidden="1" customWidth="1"/>
    <col min="30" max="31" width="9.140625" style="10"/>
    <col min="32" max="16384" width="9.140625" style="1"/>
  </cols>
  <sheetData>
    <row r="1" spans="1:31">
      <c r="B1" s="33"/>
    </row>
    <row r="2" spans="1:31" s="2" customFormat="1" ht="28.5" customHeight="1">
      <c r="A2" s="47" t="s">
        <v>42</v>
      </c>
      <c r="B2" s="48">
        <f>(B4+B29+B64+B96+B124+B177+B199+B239+B262+B305)/10</f>
        <v>52.171542287518925</v>
      </c>
      <c r="C2" s="12"/>
      <c r="D2" s="2" t="s">
        <v>6</v>
      </c>
      <c r="AD2" s="11" t="s">
        <v>23</v>
      </c>
      <c r="AE2" s="11" t="s">
        <v>3</v>
      </c>
    </row>
    <row r="3" spans="1:31">
      <c r="A3" s="13" t="s">
        <v>0</v>
      </c>
      <c r="B3" s="13" t="s">
        <v>1</v>
      </c>
      <c r="C3" s="13" t="s">
        <v>2</v>
      </c>
      <c r="D3" s="1">
        <v>100</v>
      </c>
      <c r="AD3" s="10">
        <v>62.4</v>
      </c>
      <c r="AE3" s="14">
        <f>AD3*D3/1000</f>
        <v>6.24</v>
      </c>
    </row>
    <row r="4" spans="1:31">
      <c r="A4" s="13" t="s">
        <v>200</v>
      </c>
      <c r="B4" s="16">
        <f>AE3+AE4+AE5+AE17+AE26</f>
        <v>35.591699999999996</v>
      </c>
      <c r="C4" s="13" t="s">
        <v>4</v>
      </c>
      <c r="D4" s="1">
        <v>20</v>
      </c>
      <c r="T4" s="1">
        <v>21</v>
      </c>
      <c r="AD4" s="10">
        <v>430.2</v>
      </c>
      <c r="AE4" s="14">
        <f>T4*AD4/1000</f>
        <v>9.0341999999999985</v>
      </c>
    </row>
    <row r="5" spans="1:31">
      <c r="C5" s="13" t="s">
        <v>5</v>
      </c>
      <c r="D5" s="94">
        <v>200</v>
      </c>
      <c r="E5" s="202" t="s">
        <v>9</v>
      </c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9" t="s">
        <v>10</v>
      </c>
      <c r="U5" s="209"/>
      <c r="V5" s="209"/>
      <c r="W5" s="209"/>
      <c r="X5" s="209"/>
      <c r="Y5" s="209"/>
      <c r="Z5" s="209"/>
      <c r="AA5" s="209"/>
      <c r="AB5" s="209"/>
      <c r="AC5" s="209"/>
      <c r="AE5" s="14">
        <f>SUM(AE8:AE13)</f>
        <v>11.218900000000001</v>
      </c>
    </row>
    <row r="6" spans="1:31">
      <c r="E6" s="203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5"/>
      <c r="T6" s="210">
        <v>1</v>
      </c>
      <c r="U6" s="210"/>
      <c r="V6" s="210"/>
      <c r="W6" s="210"/>
      <c r="X6" s="210">
        <v>100</v>
      </c>
      <c r="Y6" s="210"/>
      <c r="Z6" s="210"/>
      <c r="AA6" s="210"/>
      <c r="AB6" s="210"/>
      <c r="AC6" s="210"/>
    </row>
    <row r="7" spans="1:31"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8"/>
      <c r="T7" s="182" t="s">
        <v>11</v>
      </c>
      <c r="U7" s="182"/>
      <c r="V7" s="182" t="s">
        <v>12</v>
      </c>
      <c r="W7" s="182"/>
      <c r="X7" s="182" t="s">
        <v>13</v>
      </c>
      <c r="Y7" s="182"/>
      <c r="Z7" s="182"/>
      <c r="AA7" s="182"/>
      <c r="AB7" s="182" t="s">
        <v>14</v>
      </c>
      <c r="AC7" s="182"/>
    </row>
    <row r="8" spans="1:31">
      <c r="E8" s="183" t="s">
        <v>15</v>
      </c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4">
        <f>40*V15/200</f>
        <v>40</v>
      </c>
      <c r="U8" s="184"/>
      <c r="V8" s="184">
        <f t="shared" ref="V8:V13" si="0">T8</f>
        <v>40</v>
      </c>
      <c r="W8" s="184"/>
      <c r="X8" s="211">
        <v>4</v>
      </c>
      <c r="Y8" s="211"/>
      <c r="Z8" s="211"/>
      <c r="AA8" s="211"/>
      <c r="AB8" s="211">
        <v>4</v>
      </c>
      <c r="AC8" s="211"/>
      <c r="AD8" s="10">
        <v>37.5</v>
      </c>
      <c r="AE8" s="10">
        <f>AD8*T8/1000</f>
        <v>1.5</v>
      </c>
    </row>
    <row r="9" spans="1:31">
      <c r="E9" s="185" t="s">
        <v>16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7"/>
      <c r="T9" s="188">
        <f>140*V15/200</f>
        <v>140</v>
      </c>
      <c r="U9" s="189"/>
      <c r="V9" s="188">
        <f t="shared" si="0"/>
        <v>140</v>
      </c>
      <c r="W9" s="189"/>
      <c r="X9" s="212">
        <v>14</v>
      </c>
      <c r="Y9" s="213"/>
      <c r="Z9" s="213"/>
      <c r="AA9" s="214"/>
      <c r="AB9" s="212">
        <v>14</v>
      </c>
      <c r="AC9" s="214"/>
      <c r="AD9" s="10">
        <v>48.17</v>
      </c>
      <c r="AE9" s="10">
        <f t="shared" ref="AE9:AE13" si="1">AD9*T9/1000</f>
        <v>6.7438000000000002</v>
      </c>
    </row>
    <row r="10" spans="1:31">
      <c r="E10" s="68" t="s">
        <v>17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0"/>
      <c r="T10" s="188">
        <f>60*V15/200</f>
        <v>60</v>
      </c>
      <c r="U10" s="189"/>
      <c r="V10" s="188">
        <f t="shared" si="0"/>
        <v>60</v>
      </c>
      <c r="W10" s="189"/>
      <c r="X10" s="212">
        <v>6</v>
      </c>
      <c r="Y10" s="213"/>
      <c r="Z10" s="213"/>
      <c r="AA10" s="214"/>
      <c r="AB10" s="212">
        <v>6</v>
      </c>
      <c r="AC10" s="214"/>
      <c r="AE10" s="10">
        <f t="shared" si="1"/>
        <v>0</v>
      </c>
    </row>
    <row r="11" spans="1:31">
      <c r="E11" s="185" t="s">
        <v>18</v>
      </c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7"/>
      <c r="T11" s="188">
        <f>5*V15/200</f>
        <v>5</v>
      </c>
      <c r="U11" s="189"/>
      <c r="V11" s="188">
        <f t="shared" si="0"/>
        <v>5</v>
      </c>
      <c r="W11" s="189"/>
      <c r="X11" s="212">
        <v>0.5</v>
      </c>
      <c r="Y11" s="213"/>
      <c r="Z11" s="213"/>
      <c r="AA11" s="214"/>
      <c r="AB11" s="212">
        <v>0.5</v>
      </c>
      <c r="AC11" s="214"/>
      <c r="AD11" s="10">
        <v>550</v>
      </c>
      <c r="AE11" s="10">
        <f t="shared" si="1"/>
        <v>2.75</v>
      </c>
    </row>
    <row r="12" spans="1:31">
      <c r="E12" s="185" t="s">
        <v>19</v>
      </c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7"/>
      <c r="T12" s="188">
        <f>0.3*V15/200</f>
        <v>0.3</v>
      </c>
      <c r="U12" s="189"/>
      <c r="V12" s="188">
        <f t="shared" si="0"/>
        <v>0.3</v>
      </c>
      <c r="W12" s="189"/>
      <c r="X12" s="212">
        <v>0.03</v>
      </c>
      <c r="Y12" s="213"/>
      <c r="Z12" s="213"/>
      <c r="AA12" s="214"/>
      <c r="AB12" s="212">
        <v>0.03</v>
      </c>
      <c r="AC12" s="214"/>
      <c r="AD12" s="10">
        <v>17</v>
      </c>
      <c r="AE12" s="10">
        <f t="shared" si="1"/>
        <v>5.0999999999999995E-3</v>
      </c>
    </row>
    <row r="13" spans="1:31">
      <c r="E13" s="68" t="s">
        <v>20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70"/>
      <c r="T13" s="188">
        <f>4*V15/200</f>
        <v>4</v>
      </c>
      <c r="U13" s="189"/>
      <c r="V13" s="188">
        <f t="shared" si="0"/>
        <v>4</v>
      </c>
      <c r="W13" s="189"/>
      <c r="X13" s="212">
        <v>0.04</v>
      </c>
      <c r="Y13" s="213"/>
      <c r="Z13" s="213"/>
      <c r="AA13" s="214"/>
      <c r="AB13" s="212">
        <v>0.04</v>
      </c>
      <c r="AC13" s="214"/>
      <c r="AD13" s="10">
        <v>55</v>
      </c>
      <c r="AE13" s="10">
        <f t="shared" si="1"/>
        <v>0.22</v>
      </c>
    </row>
    <row r="14" spans="1:31">
      <c r="E14" s="185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7"/>
      <c r="T14" s="188"/>
      <c r="U14" s="189"/>
      <c r="V14" s="188"/>
      <c r="W14" s="189"/>
      <c r="X14" s="188"/>
      <c r="Y14" s="215"/>
      <c r="Z14" s="215"/>
      <c r="AA14" s="189"/>
      <c r="AB14" s="188"/>
      <c r="AC14" s="189"/>
    </row>
    <row r="15" spans="1:31">
      <c r="A15" s="23"/>
      <c r="E15" s="190" t="s">
        <v>21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1" t="s">
        <v>22</v>
      </c>
      <c r="U15" s="191"/>
      <c r="V15" s="192">
        <v>200</v>
      </c>
      <c r="W15" s="192"/>
      <c r="X15" s="191" t="s">
        <v>22</v>
      </c>
      <c r="Y15" s="191"/>
      <c r="Z15" s="191"/>
      <c r="AA15" s="191"/>
      <c r="AB15" s="191" t="s">
        <v>22</v>
      </c>
      <c r="AC15" s="191"/>
    </row>
    <row r="17" spans="1:31">
      <c r="C17" s="13" t="s">
        <v>8</v>
      </c>
      <c r="D17" s="1">
        <v>200</v>
      </c>
      <c r="E17" s="225" t="s">
        <v>9</v>
      </c>
      <c r="F17" s="225"/>
      <c r="G17" s="225"/>
      <c r="H17" s="225"/>
      <c r="I17" s="225" t="s">
        <v>9</v>
      </c>
      <c r="J17" s="225"/>
      <c r="K17" s="225"/>
      <c r="L17" s="225"/>
      <c r="M17" s="225" t="s">
        <v>9</v>
      </c>
      <c r="N17" s="225"/>
      <c r="O17" s="225"/>
      <c r="P17" s="225"/>
      <c r="Q17" s="10"/>
      <c r="R17" s="10"/>
      <c r="S17" s="10"/>
      <c r="T17" s="221" t="s">
        <v>10</v>
      </c>
      <c r="U17" s="221"/>
      <c r="V17" s="221"/>
      <c r="W17" s="221"/>
      <c r="X17" s="221"/>
      <c r="Y17" s="221"/>
      <c r="Z17" s="221"/>
      <c r="AA17" s="221"/>
      <c r="AE17" s="15">
        <f>AE20+AE21+AE22+AE23</f>
        <v>7.277000000000001</v>
      </c>
    </row>
    <row r="18" spans="1:31">
      <c r="E18" s="226"/>
      <c r="F18" s="227"/>
      <c r="G18" s="227"/>
      <c r="H18" s="227"/>
      <c r="I18" s="226"/>
      <c r="J18" s="227"/>
      <c r="K18" s="227"/>
      <c r="L18" s="227"/>
      <c r="M18" s="226"/>
      <c r="N18" s="227"/>
      <c r="O18" s="227"/>
      <c r="P18" s="227"/>
      <c r="Q18" s="10"/>
      <c r="R18" s="10"/>
      <c r="S18" s="10"/>
      <c r="T18" s="222">
        <v>1</v>
      </c>
      <c r="U18" s="222"/>
      <c r="V18" s="222"/>
      <c r="W18" s="222"/>
      <c r="X18" s="222">
        <v>100</v>
      </c>
      <c r="Y18" s="222"/>
      <c r="Z18" s="222"/>
      <c r="AA18" s="222"/>
    </row>
    <row r="19" spans="1:31">
      <c r="E19" s="228"/>
      <c r="F19" s="229"/>
      <c r="G19" s="229"/>
      <c r="H19" s="229"/>
      <c r="I19" s="228"/>
      <c r="J19" s="229"/>
      <c r="K19" s="229"/>
      <c r="L19" s="229"/>
      <c r="M19" s="228"/>
      <c r="N19" s="229"/>
      <c r="O19" s="229"/>
      <c r="P19" s="229"/>
      <c r="Q19" s="10"/>
      <c r="R19" s="10"/>
      <c r="S19" s="10"/>
      <c r="T19" s="223" t="s">
        <v>11</v>
      </c>
      <c r="U19" s="223"/>
      <c r="V19" s="223" t="s">
        <v>12</v>
      </c>
      <c r="W19" s="223"/>
      <c r="X19" s="223" t="s">
        <v>13</v>
      </c>
      <c r="Y19" s="223"/>
      <c r="Z19" s="223" t="s">
        <v>14</v>
      </c>
      <c r="AA19" s="223"/>
    </row>
    <row r="20" spans="1:31">
      <c r="E20" s="230" t="s">
        <v>24</v>
      </c>
      <c r="F20" s="230"/>
      <c r="G20" s="230"/>
      <c r="H20" s="230"/>
      <c r="I20" s="230" t="s">
        <v>24</v>
      </c>
      <c r="J20" s="230"/>
      <c r="K20" s="230"/>
      <c r="L20" s="230"/>
      <c r="M20" s="230" t="s">
        <v>24</v>
      </c>
      <c r="N20" s="230"/>
      <c r="O20" s="230"/>
      <c r="P20" s="230"/>
      <c r="Q20" s="10"/>
      <c r="R20" s="10"/>
      <c r="S20" s="10"/>
      <c r="T20" s="218">
        <f>4*V24/200</f>
        <v>4</v>
      </c>
      <c r="U20" s="218"/>
      <c r="V20" s="218">
        <f>T20</f>
        <v>4</v>
      </c>
      <c r="W20" s="218"/>
      <c r="X20" s="218">
        <f>T20*0.1</f>
        <v>0.4</v>
      </c>
      <c r="Y20" s="218"/>
      <c r="Z20" s="218">
        <f>V20*0.1</f>
        <v>0.4</v>
      </c>
      <c r="AA20" s="218"/>
      <c r="AD20" s="10">
        <v>340</v>
      </c>
      <c r="AE20" s="10">
        <f>T20*AD20/1000</f>
        <v>1.36</v>
      </c>
    </row>
    <row r="21" spans="1:31">
      <c r="E21" s="216" t="s">
        <v>16</v>
      </c>
      <c r="F21" s="217"/>
      <c r="G21" s="217"/>
      <c r="H21" s="217"/>
      <c r="I21" s="216" t="s">
        <v>16</v>
      </c>
      <c r="J21" s="217"/>
      <c r="K21" s="217"/>
      <c r="L21" s="217"/>
      <c r="M21" s="216" t="s">
        <v>16</v>
      </c>
      <c r="N21" s="217"/>
      <c r="O21" s="217"/>
      <c r="P21" s="217"/>
      <c r="Q21" s="10"/>
      <c r="R21" s="10"/>
      <c r="S21" s="10"/>
      <c r="T21" s="219">
        <f>100*V24/200</f>
        <v>100</v>
      </c>
      <c r="U21" s="220"/>
      <c r="V21" s="218">
        <f>T21</f>
        <v>100</v>
      </c>
      <c r="W21" s="218"/>
      <c r="X21" s="218">
        <f>T21*0.1</f>
        <v>10</v>
      </c>
      <c r="Y21" s="218"/>
      <c r="Z21" s="218">
        <f>V21*0.1</f>
        <v>10</v>
      </c>
      <c r="AA21" s="218"/>
      <c r="AD21" s="10">
        <v>48.17</v>
      </c>
      <c r="AE21" s="10">
        <f t="shared" ref="AE21:AE23" si="2">T21*AD21/1000</f>
        <v>4.8170000000000002</v>
      </c>
    </row>
    <row r="22" spans="1:31">
      <c r="E22" s="216" t="s">
        <v>17</v>
      </c>
      <c r="F22" s="217"/>
      <c r="G22" s="217"/>
      <c r="H22" s="217"/>
      <c r="I22" s="216" t="s">
        <v>17</v>
      </c>
      <c r="J22" s="217"/>
      <c r="K22" s="217"/>
      <c r="L22" s="217"/>
      <c r="M22" s="216" t="s">
        <v>17</v>
      </c>
      <c r="N22" s="217"/>
      <c r="O22" s="217"/>
      <c r="P22" s="217"/>
      <c r="Q22" s="10"/>
      <c r="R22" s="10"/>
      <c r="S22" s="10"/>
      <c r="T22" s="219">
        <f>110*V24/200</f>
        <v>110</v>
      </c>
      <c r="U22" s="220"/>
      <c r="V22" s="218">
        <f>T22</f>
        <v>110</v>
      </c>
      <c r="W22" s="218"/>
      <c r="X22" s="218">
        <f>T22*0.1</f>
        <v>11</v>
      </c>
      <c r="Y22" s="218"/>
      <c r="Z22" s="218">
        <f>V22*0.1</f>
        <v>11</v>
      </c>
      <c r="AA22" s="218"/>
      <c r="AE22" s="10">
        <f t="shared" si="2"/>
        <v>0</v>
      </c>
    </row>
    <row r="23" spans="1:31">
      <c r="E23" s="216" t="s">
        <v>25</v>
      </c>
      <c r="F23" s="217"/>
      <c r="G23" s="217"/>
      <c r="H23" s="217"/>
      <c r="I23" s="216" t="s">
        <v>25</v>
      </c>
      <c r="J23" s="217"/>
      <c r="K23" s="217"/>
      <c r="L23" s="217"/>
      <c r="M23" s="216" t="s">
        <v>25</v>
      </c>
      <c r="N23" s="217"/>
      <c r="O23" s="217"/>
      <c r="P23" s="217"/>
      <c r="Q23" s="10"/>
      <c r="R23" s="10"/>
      <c r="S23" s="10"/>
      <c r="T23" s="219">
        <f>20*V24/200</f>
        <v>20</v>
      </c>
      <c r="U23" s="220"/>
      <c r="V23" s="218">
        <f>T23</f>
        <v>20</v>
      </c>
      <c r="W23" s="218"/>
      <c r="X23" s="218">
        <f>T23*0.1</f>
        <v>2</v>
      </c>
      <c r="Y23" s="218"/>
      <c r="Z23" s="218">
        <f>V23*0.1</f>
        <v>2</v>
      </c>
      <c r="AA23" s="218"/>
      <c r="AD23" s="10">
        <v>55</v>
      </c>
      <c r="AE23" s="10">
        <f t="shared" si="2"/>
        <v>1.1000000000000001</v>
      </c>
    </row>
    <row r="24" spans="1:31">
      <c r="E24" s="224" t="s">
        <v>21</v>
      </c>
      <c r="F24" s="224"/>
      <c r="G24" s="224"/>
      <c r="H24" s="224"/>
      <c r="I24" s="224" t="s">
        <v>21</v>
      </c>
      <c r="J24" s="224"/>
      <c r="K24" s="224"/>
      <c r="L24" s="224"/>
      <c r="M24" s="224" t="s">
        <v>21</v>
      </c>
      <c r="N24" s="224"/>
      <c r="O24" s="224"/>
      <c r="P24" s="224"/>
      <c r="Q24" s="10"/>
      <c r="R24" s="10"/>
      <c r="S24" s="10"/>
      <c r="T24" s="231" t="s">
        <v>22</v>
      </c>
      <c r="U24" s="231"/>
      <c r="V24" s="232">
        <v>200</v>
      </c>
      <c r="W24" s="232"/>
      <c r="X24" s="231" t="s">
        <v>22</v>
      </c>
      <c r="Y24" s="231"/>
      <c r="Z24" s="231">
        <f>V24*0.1</f>
        <v>20</v>
      </c>
      <c r="AA24" s="231"/>
    </row>
    <row r="26" spans="1:31">
      <c r="C26" s="13" t="s">
        <v>26</v>
      </c>
      <c r="D26" s="1">
        <v>40</v>
      </c>
      <c r="AD26" s="10">
        <v>45.54</v>
      </c>
      <c r="AE26" s="15">
        <f>AD26*D26/1000</f>
        <v>1.8215999999999999</v>
      </c>
    </row>
    <row r="28" spans="1:31">
      <c r="A28" s="13" t="s">
        <v>27</v>
      </c>
      <c r="B28" s="13" t="s">
        <v>1</v>
      </c>
      <c r="C28" s="25" t="s">
        <v>28</v>
      </c>
      <c r="D28" s="74">
        <v>40</v>
      </c>
      <c r="AE28" s="18">
        <f>AE29+AE30+AE31+AE32</f>
        <v>1.9912000000000001</v>
      </c>
    </row>
    <row r="29" spans="1:31">
      <c r="A29" s="13" t="s">
        <v>199</v>
      </c>
      <c r="B29" s="24">
        <f>AE28+AE34+AE38+AE48+AE54+AE61</f>
        <v>46.655469999999994</v>
      </c>
      <c r="C29" s="25"/>
      <c r="D29" s="74"/>
      <c r="E29" s="237" t="s">
        <v>31</v>
      </c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9"/>
      <c r="T29" s="233">
        <v>54</v>
      </c>
      <c r="U29" s="234"/>
      <c r="AD29" s="10">
        <v>30</v>
      </c>
      <c r="AE29" s="10">
        <f>AD29*T29/1000</f>
        <v>1.62</v>
      </c>
    </row>
    <row r="30" spans="1:31">
      <c r="C30" s="25"/>
      <c r="D30" s="74"/>
      <c r="E30" s="237" t="s">
        <v>32</v>
      </c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9"/>
      <c r="T30" s="233">
        <v>2.5</v>
      </c>
      <c r="U30" s="234"/>
      <c r="AD30" s="10">
        <v>140</v>
      </c>
      <c r="AE30" s="10">
        <f t="shared" ref="AE30:AE32" si="3">AD30*T30/1000</f>
        <v>0.35</v>
      </c>
    </row>
    <row r="31" spans="1:31">
      <c r="C31" s="25"/>
      <c r="D31" s="74"/>
      <c r="E31" s="237" t="s">
        <v>19</v>
      </c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9"/>
      <c r="T31" s="233">
        <v>0.6</v>
      </c>
      <c r="U31" s="234"/>
      <c r="AD31" s="10">
        <v>17</v>
      </c>
      <c r="AE31" s="10">
        <f t="shared" si="3"/>
        <v>1.0199999999999999E-2</v>
      </c>
    </row>
    <row r="32" spans="1:31">
      <c r="C32" s="25"/>
      <c r="D32" s="74"/>
      <c r="E32" s="237" t="s">
        <v>20</v>
      </c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9"/>
      <c r="T32" s="235">
        <v>0.2</v>
      </c>
      <c r="U32" s="236"/>
      <c r="AD32" s="10">
        <v>55</v>
      </c>
      <c r="AE32" s="10">
        <f t="shared" si="3"/>
        <v>1.0999999999999999E-2</v>
      </c>
    </row>
    <row r="33" spans="3:31" s="1" customFormat="1">
      <c r="C33" s="25"/>
      <c r="D33" s="7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20"/>
      <c r="AD33" s="10"/>
      <c r="AE33" s="10"/>
    </row>
    <row r="34" spans="3:31" s="1" customFormat="1">
      <c r="C34" s="25" t="s">
        <v>189</v>
      </c>
      <c r="D34" s="74">
        <v>20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20">
        <v>20</v>
      </c>
      <c r="AD34" s="10">
        <v>140</v>
      </c>
      <c r="AE34" s="75">
        <f>U34*AD34/1000</f>
        <v>2.8</v>
      </c>
    </row>
    <row r="35" spans="3:31" s="1" customFormat="1">
      <c r="C35" s="1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20"/>
      <c r="AD35" s="10"/>
      <c r="AE35" s="10"/>
    </row>
    <row r="36" spans="3:31" s="1" customFormat="1">
      <c r="C36" s="103" t="s">
        <v>30</v>
      </c>
      <c r="D36" s="104">
        <v>40</v>
      </c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>
        <v>42</v>
      </c>
      <c r="U36" s="104"/>
      <c r="V36" s="104"/>
      <c r="W36" s="104"/>
      <c r="X36" s="104"/>
      <c r="Y36" s="104"/>
      <c r="Z36" s="104"/>
      <c r="AA36" s="104"/>
      <c r="AB36" s="104"/>
      <c r="AC36" s="104"/>
      <c r="AD36" s="105">
        <v>150</v>
      </c>
      <c r="AE36" s="105">
        <f>AD36*T36/1000</f>
        <v>6.3</v>
      </c>
    </row>
    <row r="37" spans="3:31" s="1" customFormat="1">
      <c r="C37" s="13"/>
      <c r="AD37" s="10"/>
      <c r="AE37" s="21"/>
    </row>
    <row r="38" spans="3:31" s="1" customFormat="1">
      <c r="C38" s="13" t="s">
        <v>181</v>
      </c>
      <c r="D38" s="1">
        <v>90</v>
      </c>
      <c r="T38" s="222">
        <v>1</v>
      </c>
      <c r="U38" s="222"/>
      <c r="V38" s="222"/>
      <c r="W38" s="222"/>
      <c r="AD38" s="10"/>
      <c r="AE38" s="18">
        <f>SUM(AE40:AE45)</f>
        <v>27.560269999999999</v>
      </c>
    </row>
    <row r="39" spans="3:31" s="1" customFormat="1">
      <c r="C39" s="13"/>
      <c r="T39" s="223" t="s">
        <v>11</v>
      </c>
      <c r="U39" s="223"/>
      <c r="V39" s="223" t="s">
        <v>12</v>
      </c>
      <c r="W39" s="223"/>
      <c r="AD39" s="10"/>
      <c r="AE39" s="10"/>
    </row>
    <row r="40" spans="3:31" s="1" customFormat="1">
      <c r="C40" s="13"/>
      <c r="E40" s="183" t="s">
        <v>182</v>
      </c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4">
        <v>87</v>
      </c>
      <c r="U40" s="184"/>
      <c r="V40" s="184">
        <v>77</v>
      </c>
      <c r="W40" s="184"/>
      <c r="AD40" s="10">
        <v>270</v>
      </c>
      <c r="AE40" s="10">
        <f>T40*AD40/1000</f>
        <v>23.49</v>
      </c>
    </row>
    <row r="41" spans="3:31" s="1" customFormat="1">
      <c r="C41" s="13"/>
      <c r="E41" s="185" t="s">
        <v>35</v>
      </c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7"/>
      <c r="T41" s="188">
        <v>14.5</v>
      </c>
      <c r="U41" s="189"/>
      <c r="V41" s="188">
        <v>14.5</v>
      </c>
      <c r="W41" s="189"/>
      <c r="AD41" s="10">
        <v>45.54</v>
      </c>
      <c r="AE41" s="10">
        <f t="shared" ref="AE41:AE45" si="4">T41*AD41/1000</f>
        <v>0.66033000000000008</v>
      </c>
    </row>
    <row r="42" spans="3:31" s="1" customFormat="1">
      <c r="C42" s="13"/>
      <c r="E42" s="185" t="s">
        <v>16</v>
      </c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7"/>
      <c r="T42" s="188">
        <v>22</v>
      </c>
      <c r="U42" s="189"/>
      <c r="V42" s="188">
        <v>22</v>
      </c>
      <c r="W42" s="189"/>
      <c r="AD42" s="10">
        <v>48.17</v>
      </c>
      <c r="AE42" s="10">
        <f t="shared" si="4"/>
        <v>1.0597399999999999</v>
      </c>
    </row>
    <row r="43" spans="3:31" s="1" customFormat="1">
      <c r="C43" s="13"/>
      <c r="E43" s="185" t="s">
        <v>36</v>
      </c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7"/>
      <c r="T43" s="188">
        <v>10</v>
      </c>
      <c r="U43" s="189"/>
      <c r="V43" s="188">
        <v>10</v>
      </c>
      <c r="W43" s="189"/>
      <c r="AD43" s="10">
        <v>150</v>
      </c>
      <c r="AE43" s="10">
        <f t="shared" si="4"/>
        <v>1.5</v>
      </c>
    </row>
    <row r="44" spans="3:31" s="1" customFormat="1">
      <c r="C44" s="13"/>
      <c r="E44" s="185" t="s">
        <v>32</v>
      </c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7"/>
      <c r="T44" s="193">
        <v>6</v>
      </c>
      <c r="U44" s="194"/>
      <c r="V44" s="188">
        <v>6</v>
      </c>
      <c r="W44" s="189"/>
      <c r="AD44" s="10">
        <v>140</v>
      </c>
      <c r="AE44" s="10">
        <f t="shared" si="4"/>
        <v>0.84</v>
      </c>
    </row>
    <row r="45" spans="3:31" s="1" customFormat="1">
      <c r="C45" s="13"/>
      <c r="E45" s="183" t="s">
        <v>19</v>
      </c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4">
        <v>0.6</v>
      </c>
      <c r="U45" s="184"/>
      <c r="V45" s="184">
        <v>0.6</v>
      </c>
      <c r="W45" s="184"/>
      <c r="AD45" s="10">
        <v>17</v>
      </c>
      <c r="AE45" s="10">
        <f t="shared" si="4"/>
        <v>1.0199999999999999E-2</v>
      </c>
    </row>
    <row r="46" spans="3:31" s="1" customFormat="1">
      <c r="C46" s="13"/>
      <c r="E46" s="190" t="s">
        <v>21</v>
      </c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1" t="s">
        <v>22</v>
      </c>
      <c r="U46" s="191"/>
      <c r="V46" s="192">
        <v>90</v>
      </c>
      <c r="W46" s="192"/>
      <c r="AD46" s="10"/>
      <c r="AE46" s="10"/>
    </row>
    <row r="48" spans="3:31" s="1" customFormat="1">
      <c r="C48" s="13" t="s">
        <v>37</v>
      </c>
      <c r="D48" s="1">
        <v>180</v>
      </c>
      <c r="T48" s="182" t="s">
        <v>11</v>
      </c>
      <c r="U48" s="182"/>
      <c r="V48" s="182" t="s">
        <v>12</v>
      </c>
      <c r="W48" s="182"/>
      <c r="AD48" s="10"/>
      <c r="AE48" s="18">
        <f>AE49+AE50+AE51</f>
        <v>5.3204000000000002</v>
      </c>
    </row>
    <row r="49" spans="1:31">
      <c r="E49" s="256" t="s">
        <v>38</v>
      </c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7">
        <v>45</v>
      </c>
      <c r="U49" s="257"/>
      <c r="V49" s="257">
        <v>45</v>
      </c>
      <c r="W49" s="257"/>
      <c r="AD49" s="10">
        <v>75</v>
      </c>
      <c r="AE49" s="10">
        <f>AD49*T49/1000</f>
        <v>3.375</v>
      </c>
    </row>
    <row r="50" spans="1:31">
      <c r="E50" s="300" t="s">
        <v>18</v>
      </c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2"/>
      <c r="T50" s="233">
        <v>3.5</v>
      </c>
      <c r="U50" s="234"/>
      <c r="V50" s="233">
        <v>3.5</v>
      </c>
      <c r="W50" s="234"/>
      <c r="AD50" s="10">
        <v>550</v>
      </c>
      <c r="AE50" s="10">
        <f t="shared" ref="AE50:AE51" si="5">AD50*T50/1000</f>
        <v>1.925</v>
      </c>
    </row>
    <row r="51" spans="1:31">
      <c r="E51" s="256" t="s">
        <v>19</v>
      </c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7">
        <v>1.2</v>
      </c>
      <c r="U51" s="257"/>
      <c r="V51" s="257">
        <v>1.2</v>
      </c>
      <c r="W51" s="257"/>
      <c r="AD51" s="10">
        <v>17</v>
      </c>
      <c r="AE51" s="10">
        <f t="shared" si="5"/>
        <v>2.0399999999999998E-2</v>
      </c>
    </row>
    <row r="52" spans="1:31">
      <c r="E52" s="289" t="s">
        <v>21</v>
      </c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90" t="s">
        <v>22</v>
      </c>
      <c r="U52" s="290"/>
      <c r="V52" s="291">
        <v>180</v>
      </c>
      <c r="W52" s="291"/>
    </row>
    <row r="54" spans="1:31">
      <c r="C54" s="13" t="s">
        <v>39</v>
      </c>
      <c r="D54" s="1">
        <v>200</v>
      </c>
      <c r="T54" s="182" t="s">
        <v>11</v>
      </c>
      <c r="U54" s="182"/>
      <c r="V54" s="182" t="s">
        <v>12</v>
      </c>
      <c r="W54" s="182"/>
      <c r="AE54" s="18">
        <f>SUM(AE55:AE58)</f>
        <v>7.1619999999999999</v>
      </c>
    </row>
    <row r="55" spans="1:31">
      <c r="E55" s="183" t="s">
        <v>40</v>
      </c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4">
        <v>4</v>
      </c>
      <c r="U55" s="184"/>
      <c r="V55" s="184">
        <v>4</v>
      </c>
      <c r="W55" s="184"/>
      <c r="AD55" s="10">
        <v>380</v>
      </c>
      <c r="AE55" s="10">
        <f>AD55*T55/1000</f>
        <v>1.52</v>
      </c>
    </row>
    <row r="56" spans="1:31">
      <c r="E56" s="185" t="s">
        <v>20</v>
      </c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7"/>
      <c r="T56" s="188">
        <v>15</v>
      </c>
      <c r="U56" s="189"/>
      <c r="V56" s="188">
        <v>15</v>
      </c>
      <c r="W56" s="189"/>
      <c r="AD56" s="10">
        <v>55</v>
      </c>
      <c r="AE56" s="10">
        <f t="shared" ref="AE56:AE58" si="6">AD56*T56/1000</f>
        <v>0.82499999999999996</v>
      </c>
    </row>
    <row r="57" spans="1:31">
      <c r="E57" s="185" t="s">
        <v>41</v>
      </c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7"/>
      <c r="T57" s="188">
        <v>100</v>
      </c>
      <c r="U57" s="189"/>
      <c r="V57" s="188">
        <v>100</v>
      </c>
      <c r="W57" s="189"/>
      <c r="AD57" s="10">
        <v>48.17</v>
      </c>
      <c r="AE57" s="10">
        <f t="shared" si="6"/>
        <v>4.8170000000000002</v>
      </c>
    </row>
    <row r="58" spans="1:31">
      <c r="E58" s="185" t="s">
        <v>17</v>
      </c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7"/>
      <c r="T58" s="188">
        <v>81</v>
      </c>
      <c r="U58" s="189"/>
      <c r="V58" s="188">
        <v>81</v>
      </c>
      <c r="W58" s="189"/>
      <c r="AD58" s="10">
        <v>0</v>
      </c>
      <c r="AE58" s="10">
        <f t="shared" si="6"/>
        <v>0</v>
      </c>
    </row>
    <row r="59" spans="1:31">
      <c r="E59" s="190" t="s">
        <v>21</v>
      </c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1" t="s">
        <v>22</v>
      </c>
      <c r="U59" s="191"/>
      <c r="V59" s="192">
        <v>200</v>
      </c>
      <c r="W59" s="192"/>
    </row>
    <row r="61" spans="1:31">
      <c r="C61" s="13" t="s">
        <v>26</v>
      </c>
      <c r="D61" s="1">
        <v>40</v>
      </c>
      <c r="AD61" s="10">
        <v>45.54</v>
      </c>
      <c r="AE61" s="18">
        <f>AD61*D61/1000</f>
        <v>1.8215999999999999</v>
      </c>
    </row>
    <row r="63" spans="1:31">
      <c r="A63" s="13" t="s">
        <v>43</v>
      </c>
      <c r="B63" s="13" t="s">
        <v>1</v>
      </c>
    </row>
    <row r="64" spans="1:31">
      <c r="A64" s="13" t="s">
        <v>201</v>
      </c>
      <c r="B64" s="25">
        <f>AE64+AE70+AE74+AE88+AE93</f>
        <v>45.875779999999999</v>
      </c>
      <c r="C64" s="95" t="s">
        <v>44</v>
      </c>
      <c r="D64" s="96">
        <v>100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353" t="s">
        <v>11</v>
      </c>
      <c r="U64" s="353"/>
      <c r="V64" s="353" t="s">
        <v>12</v>
      </c>
      <c r="W64" s="353"/>
      <c r="AE64" s="26">
        <f>AE65+AE66+AE67</f>
        <v>5.0966800000000001</v>
      </c>
    </row>
    <row r="65" spans="3:31" s="1" customFormat="1">
      <c r="C65" s="95"/>
      <c r="D65" s="96"/>
      <c r="E65" s="256" t="s">
        <v>45</v>
      </c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7">
        <v>93.8</v>
      </c>
      <c r="U65" s="257"/>
      <c r="V65" s="257">
        <v>75</v>
      </c>
      <c r="W65" s="257"/>
      <c r="AD65" s="10">
        <v>30</v>
      </c>
      <c r="AE65" s="10">
        <f>T65*AD65/1000</f>
        <v>2.8140000000000001</v>
      </c>
    </row>
    <row r="66" spans="3:31" s="1" customFormat="1">
      <c r="C66" s="95"/>
      <c r="D66" s="96"/>
      <c r="E66" s="256" t="s">
        <v>46</v>
      </c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7">
        <v>35.700000000000003</v>
      </c>
      <c r="U66" s="257"/>
      <c r="V66" s="257">
        <v>25</v>
      </c>
      <c r="W66" s="257"/>
      <c r="AD66" s="10">
        <v>62.4</v>
      </c>
      <c r="AE66" s="10">
        <f t="shared" ref="AE66:AE67" si="7">T66*AD66/1000</f>
        <v>2.2276800000000003</v>
      </c>
    </row>
    <row r="67" spans="3:31" s="1" customFormat="1">
      <c r="C67" s="95"/>
      <c r="D67" s="96"/>
      <c r="E67" s="256" t="s">
        <v>20</v>
      </c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7">
        <v>1</v>
      </c>
      <c r="U67" s="257"/>
      <c r="V67" s="257">
        <v>1</v>
      </c>
      <c r="W67" s="257"/>
      <c r="AD67" s="10">
        <v>55</v>
      </c>
      <c r="AE67" s="10">
        <f t="shared" si="7"/>
        <v>5.5E-2</v>
      </c>
    </row>
    <row r="68" spans="3:31" s="1" customFormat="1">
      <c r="C68" s="95"/>
      <c r="D68" s="96"/>
      <c r="E68" s="289" t="s">
        <v>21</v>
      </c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90" t="s">
        <v>22</v>
      </c>
      <c r="U68" s="290"/>
      <c r="V68" s="291">
        <v>100</v>
      </c>
      <c r="W68" s="291"/>
      <c r="AD68" s="10"/>
      <c r="AE68" s="10"/>
    </row>
    <row r="70" spans="3:31" s="1" customFormat="1">
      <c r="C70" s="13" t="s">
        <v>47</v>
      </c>
      <c r="D70" s="1">
        <v>20</v>
      </c>
      <c r="T70" s="182" t="s">
        <v>11</v>
      </c>
      <c r="U70" s="182"/>
      <c r="V70" s="182" t="s">
        <v>12</v>
      </c>
      <c r="W70" s="182"/>
      <c r="AD70" s="10"/>
      <c r="AE70" s="26">
        <f>AE71</f>
        <v>1.6722000000000001</v>
      </c>
    </row>
    <row r="71" spans="3:31" s="1" customFormat="1">
      <c r="C71" s="13"/>
      <c r="E71" s="183" t="s">
        <v>195</v>
      </c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4">
        <v>20</v>
      </c>
      <c r="U71" s="184"/>
      <c r="V71" s="184">
        <v>20</v>
      </c>
      <c r="W71" s="184"/>
      <c r="AD71" s="10">
        <v>83.61</v>
      </c>
      <c r="AE71" s="10">
        <f>T71*AD71/1000</f>
        <v>1.6722000000000001</v>
      </c>
    </row>
    <row r="72" spans="3:31" s="1" customFormat="1">
      <c r="C72" s="13"/>
      <c r="T72" s="191" t="s">
        <v>22</v>
      </c>
      <c r="U72" s="191"/>
      <c r="V72" s="192">
        <v>20</v>
      </c>
      <c r="W72" s="192"/>
      <c r="AD72" s="10"/>
      <c r="AE72" s="10"/>
    </row>
    <row r="74" spans="3:31" s="1" customFormat="1">
      <c r="C74" s="13" t="s">
        <v>49</v>
      </c>
      <c r="D74" s="1">
        <v>200</v>
      </c>
      <c r="T74" s="182" t="s">
        <v>11</v>
      </c>
      <c r="U74" s="182"/>
      <c r="V74" s="182" t="s">
        <v>12</v>
      </c>
      <c r="W74" s="182"/>
      <c r="AD74" s="10"/>
      <c r="AE74" s="26">
        <f>AE75+AE76+AE77+AE78+AE79+AE80+AE81+AE82+AE83+AE84+AE85</f>
        <v>35.816299999999998</v>
      </c>
    </row>
    <row r="75" spans="3:31" s="1" customFormat="1">
      <c r="C75" s="13"/>
      <c r="E75" s="256" t="s">
        <v>50</v>
      </c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7">
        <v>120</v>
      </c>
      <c r="U75" s="257"/>
      <c r="V75" s="257">
        <v>120</v>
      </c>
      <c r="W75" s="257"/>
      <c r="AD75" s="10">
        <v>239.45</v>
      </c>
      <c r="AE75" s="10">
        <f>AD75*T75/1000</f>
        <v>28.734000000000002</v>
      </c>
    </row>
    <row r="76" spans="3:31" s="1" customFormat="1">
      <c r="C76" s="13"/>
      <c r="E76" s="237" t="s">
        <v>51</v>
      </c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9"/>
      <c r="T76" s="233">
        <v>24</v>
      </c>
      <c r="U76" s="234"/>
      <c r="V76" s="257">
        <v>24</v>
      </c>
      <c r="W76" s="257"/>
      <c r="AD76" s="10">
        <v>40</v>
      </c>
      <c r="AE76" s="10">
        <f t="shared" ref="AE76:AE85" si="8">AD76*T76/1000</f>
        <v>0.96</v>
      </c>
    </row>
    <row r="77" spans="3:31" s="1" customFormat="1">
      <c r="C77" s="13"/>
      <c r="E77" s="237" t="s">
        <v>16</v>
      </c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9"/>
      <c r="T77" s="233">
        <v>40</v>
      </c>
      <c r="U77" s="234"/>
      <c r="V77" s="257">
        <v>40</v>
      </c>
      <c r="W77" s="257"/>
      <c r="AD77" s="10">
        <v>48.17</v>
      </c>
      <c r="AE77" s="10">
        <f t="shared" si="8"/>
        <v>1.9268000000000003</v>
      </c>
    </row>
    <row r="78" spans="3:31" s="1" customFormat="1">
      <c r="C78" s="13"/>
      <c r="E78" s="237" t="s">
        <v>52</v>
      </c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9"/>
      <c r="T78" s="233">
        <v>10</v>
      </c>
      <c r="U78" s="234"/>
      <c r="V78" s="257">
        <v>10</v>
      </c>
      <c r="W78" s="257"/>
      <c r="X78" s="30"/>
      <c r="Y78" s="30"/>
      <c r="Z78" s="30"/>
      <c r="AA78" s="30"/>
      <c r="AB78" s="30"/>
      <c r="AC78" s="30"/>
      <c r="AD78" s="31">
        <v>140</v>
      </c>
      <c r="AE78" s="10">
        <f>AD78*T78/1000</f>
        <v>1.4</v>
      </c>
    </row>
    <row r="79" spans="3:31" s="1" customFormat="1">
      <c r="C79" s="13"/>
      <c r="E79" s="237" t="s">
        <v>20</v>
      </c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9"/>
      <c r="T79" s="235">
        <v>12</v>
      </c>
      <c r="U79" s="236"/>
      <c r="V79" s="257">
        <v>12</v>
      </c>
      <c r="W79" s="257"/>
      <c r="AD79" s="10">
        <v>55</v>
      </c>
      <c r="AE79" s="10">
        <f t="shared" si="8"/>
        <v>0.66</v>
      </c>
    </row>
    <row r="80" spans="3:31" s="1" customFormat="1">
      <c r="C80" s="13"/>
      <c r="E80" s="237" t="s">
        <v>18</v>
      </c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9"/>
      <c r="T80" s="233">
        <v>2</v>
      </c>
      <c r="U80" s="234"/>
      <c r="V80" s="257">
        <v>2</v>
      </c>
      <c r="W80" s="257"/>
      <c r="AD80" s="10">
        <v>550</v>
      </c>
      <c r="AE80" s="10">
        <f t="shared" si="8"/>
        <v>1.1000000000000001</v>
      </c>
    </row>
    <row r="81" spans="1:31">
      <c r="E81" s="237" t="s">
        <v>53</v>
      </c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9"/>
      <c r="T81" s="292">
        <v>0.03</v>
      </c>
      <c r="U81" s="293"/>
      <c r="V81" s="257">
        <v>0.03</v>
      </c>
      <c r="W81" s="257"/>
      <c r="AD81" s="10">
        <v>1200</v>
      </c>
      <c r="AE81" s="10">
        <f t="shared" si="8"/>
        <v>3.5999999999999997E-2</v>
      </c>
    </row>
    <row r="82" spans="1:31">
      <c r="E82" s="237" t="s">
        <v>54</v>
      </c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9"/>
      <c r="T82" s="233">
        <v>4</v>
      </c>
      <c r="U82" s="234"/>
      <c r="V82" s="257">
        <v>4</v>
      </c>
      <c r="W82" s="257"/>
      <c r="AD82" s="10">
        <v>173.6</v>
      </c>
      <c r="AE82" s="10">
        <f t="shared" si="8"/>
        <v>0.69440000000000002</v>
      </c>
    </row>
    <row r="83" spans="1:31">
      <c r="E83" s="237" t="s">
        <v>55</v>
      </c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9"/>
      <c r="T83" s="233">
        <v>2</v>
      </c>
      <c r="U83" s="234"/>
      <c r="V83" s="257">
        <v>2</v>
      </c>
      <c r="W83" s="257"/>
      <c r="AD83" s="10">
        <v>150</v>
      </c>
      <c r="AE83" s="10">
        <f t="shared" si="8"/>
        <v>0.3</v>
      </c>
    </row>
    <row r="84" spans="1:31">
      <c r="E84" s="237" t="s">
        <v>56</v>
      </c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9"/>
      <c r="T84" s="233">
        <v>3</v>
      </c>
      <c r="U84" s="234"/>
      <c r="V84" s="257">
        <v>3</v>
      </c>
      <c r="W84" s="257"/>
      <c r="AD84" s="32"/>
      <c r="AE84" s="10">
        <f t="shared" si="8"/>
        <v>0</v>
      </c>
    </row>
    <row r="85" spans="1:31">
      <c r="E85" s="256" t="s">
        <v>19</v>
      </c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7">
        <v>0.3</v>
      </c>
      <c r="U85" s="257"/>
      <c r="V85" s="257">
        <v>0.3</v>
      </c>
      <c r="W85" s="257"/>
      <c r="AD85" s="10">
        <v>17</v>
      </c>
      <c r="AE85" s="10">
        <f t="shared" si="8"/>
        <v>5.0999999999999995E-3</v>
      </c>
    </row>
    <row r="86" spans="1:31">
      <c r="E86" s="289" t="s">
        <v>21</v>
      </c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90" t="s">
        <v>22</v>
      </c>
      <c r="U86" s="290"/>
      <c r="V86" s="291">
        <v>200</v>
      </c>
      <c r="W86" s="291"/>
    </row>
    <row r="88" spans="1:31">
      <c r="C88" s="13" t="s">
        <v>57</v>
      </c>
      <c r="D88" s="1">
        <v>200</v>
      </c>
      <c r="T88" s="182" t="s">
        <v>11</v>
      </c>
      <c r="U88" s="182"/>
      <c r="V88" s="182" t="s">
        <v>12</v>
      </c>
      <c r="W88" s="182"/>
      <c r="AE88" s="26">
        <f>AE89+AE90</f>
        <v>1.125</v>
      </c>
    </row>
    <row r="89" spans="1:31">
      <c r="E89" s="183" t="s">
        <v>58</v>
      </c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4">
        <v>0.6</v>
      </c>
      <c r="U89" s="184"/>
      <c r="V89" s="184">
        <v>0.6</v>
      </c>
      <c r="W89" s="184"/>
      <c r="AD89" s="10">
        <v>500</v>
      </c>
      <c r="AE89" s="10">
        <f>T89*AD89/1000</f>
        <v>0.3</v>
      </c>
    </row>
    <row r="90" spans="1:31">
      <c r="E90" s="185" t="s">
        <v>20</v>
      </c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7"/>
      <c r="T90" s="188">
        <v>15</v>
      </c>
      <c r="U90" s="189"/>
      <c r="V90" s="188">
        <v>15</v>
      </c>
      <c r="W90" s="189"/>
      <c r="AD90" s="10">
        <v>55</v>
      </c>
      <c r="AE90" s="10">
        <f>T90*AD90/1000</f>
        <v>0.82499999999999996</v>
      </c>
    </row>
    <row r="91" spans="1:31">
      <c r="E91" s="190" t="s">
        <v>21</v>
      </c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1" t="s">
        <v>22</v>
      </c>
      <c r="U91" s="191"/>
      <c r="V91" s="192">
        <v>200</v>
      </c>
      <c r="W91" s="192"/>
    </row>
    <row r="93" spans="1:31">
      <c r="C93" s="13" t="s">
        <v>59</v>
      </c>
      <c r="D93" s="1">
        <v>40</v>
      </c>
      <c r="AD93" s="10">
        <v>54.14</v>
      </c>
      <c r="AE93" s="26">
        <f>D93*AD93/1000</f>
        <v>2.1656</v>
      </c>
    </row>
    <row r="95" spans="1:31">
      <c r="A95" s="13" t="s">
        <v>60</v>
      </c>
      <c r="B95" s="13" t="s">
        <v>1</v>
      </c>
      <c r="C95" s="76" t="s">
        <v>2</v>
      </c>
      <c r="D95" s="1">
        <v>100</v>
      </c>
      <c r="AD95" s="34">
        <v>62.4</v>
      </c>
      <c r="AE95" s="22">
        <f>D95*AD95/1000</f>
        <v>6.24</v>
      </c>
    </row>
    <row r="96" spans="1:31">
      <c r="A96" s="13" t="s">
        <v>202</v>
      </c>
      <c r="B96" s="27">
        <f>AE98+AE95+AE109+AE115+AE121</f>
        <v>26.457250000000002</v>
      </c>
    </row>
    <row r="98" spans="1:31" ht="13.5" thickBot="1">
      <c r="A98" s="1"/>
      <c r="B98" s="1"/>
      <c r="C98" s="110" t="s">
        <v>207</v>
      </c>
      <c r="D98" s="1">
        <v>200</v>
      </c>
      <c r="AD98" s="1"/>
      <c r="AE98" s="115">
        <f>AE99+AE100+AE101</f>
        <v>16.195650000000001</v>
      </c>
    </row>
    <row r="99" spans="1:31" ht="26.25" thickBot="1">
      <c r="A99" s="13" t="s">
        <v>204</v>
      </c>
      <c r="B99" s="1"/>
      <c r="E99" s="111" t="s">
        <v>208</v>
      </c>
      <c r="F99" s="112" t="s">
        <v>209</v>
      </c>
      <c r="G99" s="112" t="s">
        <v>209</v>
      </c>
      <c r="T99" s="182">
        <v>61.25</v>
      </c>
      <c r="U99" s="182"/>
      <c r="V99" s="182"/>
      <c r="W99" s="182"/>
      <c r="AD99" s="10">
        <v>65</v>
      </c>
      <c r="AE99" s="21">
        <f>T99/1000*AD99</f>
        <v>3.9812499999999997</v>
      </c>
    </row>
    <row r="100" spans="1:31" ht="18" customHeight="1" thickBot="1">
      <c r="A100" s="13" t="s">
        <v>205</v>
      </c>
      <c r="B100" s="1"/>
      <c r="E100" s="113" t="s">
        <v>18</v>
      </c>
      <c r="F100" s="113" t="s">
        <v>18</v>
      </c>
      <c r="G100" s="113" t="s">
        <v>18</v>
      </c>
      <c r="H100" s="113" t="s">
        <v>18</v>
      </c>
      <c r="I100" s="113" t="s">
        <v>18</v>
      </c>
      <c r="J100" s="113" t="s">
        <v>18</v>
      </c>
      <c r="K100" s="113" t="s">
        <v>18</v>
      </c>
      <c r="L100" s="113" t="s">
        <v>18</v>
      </c>
      <c r="M100" s="113" t="s">
        <v>18</v>
      </c>
      <c r="N100" s="113" t="s">
        <v>18</v>
      </c>
      <c r="O100" s="113" t="s">
        <v>18</v>
      </c>
      <c r="P100" s="113" t="s">
        <v>18</v>
      </c>
      <c r="Q100" s="113" t="s">
        <v>18</v>
      </c>
      <c r="R100" s="113" t="s">
        <v>18</v>
      </c>
      <c r="S100" s="113" t="s">
        <v>18</v>
      </c>
      <c r="T100" s="352">
        <v>5</v>
      </c>
      <c r="U100" s="310"/>
      <c r="V100" s="309"/>
      <c r="W100" s="310"/>
      <c r="AD100" s="10">
        <v>550</v>
      </c>
      <c r="AE100" s="21">
        <f t="shared" ref="AE100:AE101" si="9">T100/1000*AD100</f>
        <v>2.75</v>
      </c>
    </row>
    <row r="101" spans="1:31" ht="18" customHeight="1" thickBot="1">
      <c r="A101" s="1" t="s">
        <v>206</v>
      </c>
      <c r="B101" s="1"/>
      <c r="E101" s="113" t="s">
        <v>210</v>
      </c>
      <c r="F101" s="113" t="s">
        <v>210</v>
      </c>
      <c r="G101" s="113" t="s">
        <v>210</v>
      </c>
      <c r="H101" s="113" t="s">
        <v>210</v>
      </c>
      <c r="I101" s="113" t="s">
        <v>210</v>
      </c>
      <c r="J101" s="113" t="s">
        <v>210</v>
      </c>
      <c r="K101" s="113" t="s">
        <v>210</v>
      </c>
      <c r="L101" s="113" t="s">
        <v>210</v>
      </c>
      <c r="M101" s="113" t="s">
        <v>210</v>
      </c>
      <c r="N101" s="113" t="s">
        <v>210</v>
      </c>
      <c r="O101" s="113" t="s">
        <v>210</v>
      </c>
      <c r="P101" s="113" t="s">
        <v>210</v>
      </c>
      <c r="Q101" s="113" t="s">
        <v>210</v>
      </c>
      <c r="R101" s="113" t="s">
        <v>210</v>
      </c>
      <c r="S101" s="113" t="s">
        <v>210</v>
      </c>
      <c r="T101" s="351">
        <v>22</v>
      </c>
      <c r="U101" s="234"/>
      <c r="V101" s="233"/>
      <c r="W101" s="234"/>
      <c r="AD101" s="10">
        <v>430.2</v>
      </c>
      <c r="AE101" s="21">
        <f t="shared" si="9"/>
        <v>9.4643999999999995</v>
      </c>
    </row>
    <row r="102" spans="1:31" ht="16.5" thickBot="1">
      <c r="A102" s="1"/>
      <c r="B102" s="1"/>
      <c r="E102" s="114" t="s">
        <v>211</v>
      </c>
      <c r="F102" s="114" t="s">
        <v>211</v>
      </c>
      <c r="G102" s="114" t="s">
        <v>211</v>
      </c>
      <c r="H102" s="114" t="s">
        <v>211</v>
      </c>
      <c r="I102" s="114" t="s">
        <v>211</v>
      </c>
      <c r="J102" s="114" t="s">
        <v>211</v>
      </c>
      <c r="K102" s="114" t="s">
        <v>211</v>
      </c>
      <c r="L102" s="114" t="s">
        <v>211</v>
      </c>
      <c r="M102" s="114" t="s">
        <v>211</v>
      </c>
      <c r="N102" s="114" t="s">
        <v>211</v>
      </c>
      <c r="O102" s="114" t="s">
        <v>211</v>
      </c>
      <c r="P102" s="114" t="s">
        <v>211</v>
      </c>
      <c r="Q102" s="114" t="s">
        <v>211</v>
      </c>
      <c r="R102" s="114" t="s">
        <v>211</v>
      </c>
      <c r="S102" s="114" t="s">
        <v>211</v>
      </c>
      <c r="T102" s="85">
        <v>200</v>
      </c>
      <c r="U102" s="86"/>
      <c r="V102" s="85"/>
      <c r="W102" s="86"/>
      <c r="X102" s="30"/>
      <c r="Y102" s="30"/>
      <c r="Z102" s="30"/>
      <c r="AA102" s="30"/>
      <c r="AB102" s="30"/>
      <c r="AC102" s="30"/>
      <c r="AD102" s="31"/>
    </row>
    <row r="103" spans="1:31">
      <c r="A103" s="1"/>
      <c r="B103" s="1"/>
      <c r="E103" s="237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9"/>
      <c r="T103" s="233"/>
      <c r="U103" s="234"/>
      <c r="V103" s="233"/>
      <c r="W103" s="234"/>
    </row>
    <row r="104" spans="1:31" hidden="1">
      <c r="A104" s="1"/>
      <c r="B104" s="1"/>
      <c r="E104" s="237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9"/>
      <c r="T104" s="233"/>
      <c r="U104" s="234"/>
      <c r="V104" s="233"/>
      <c r="W104" s="234"/>
    </row>
    <row r="105" spans="1:31" hidden="1">
      <c r="A105" s="1"/>
      <c r="B105" s="1"/>
      <c r="E105" s="300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2"/>
      <c r="T105" s="233"/>
      <c r="U105" s="234"/>
      <c r="V105" s="233"/>
      <c r="W105" s="234"/>
    </row>
    <row r="106" spans="1:31" hidden="1">
      <c r="A106" s="1"/>
      <c r="B106" s="1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7"/>
      <c r="U106" s="257"/>
      <c r="V106" s="257"/>
      <c r="W106" s="257"/>
    </row>
    <row r="107" spans="1:31" hidden="1">
      <c r="A107" s="1"/>
      <c r="B107" s="1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90"/>
      <c r="U107" s="290"/>
      <c r="V107" s="291"/>
      <c r="W107" s="291"/>
    </row>
    <row r="108" spans="1:31" hidden="1"/>
    <row r="109" spans="1:31" hidden="1">
      <c r="A109" s="1"/>
      <c r="B109" s="1"/>
      <c r="T109" s="182"/>
      <c r="U109" s="182"/>
      <c r="V109" s="182"/>
      <c r="W109" s="182"/>
      <c r="AE109" s="22"/>
    </row>
    <row r="110" spans="1:31" hidden="1">
      <c r="A110" s="1"/>
      <c r="B110" s="1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7"/>
      <c r="U110" s="257"/>
      <c r="V110" s="257"/>
      <c r="W110" s="257"/>
    </row>
    <row r="111" spans="1:31" hidden="1">
      <c r="A111" s="1"/>
      <c r="B111" s="1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7"/>
      <c r="U111" s="257"/>
      <c r="V111" s="257"/>
      <c r="W111" s="257"/>
    </row>
    <row r="112" spans="1:31" hidden="1">
      <c r="A112" s="1"/>
      <c r="B112" s="1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7"/>
      <c r="U112" s="257"/>
      <c r="V112" s="257"/>
      <c r="W112" s="257"/>
    </row>
    <row r="113" spans="1:31" hidden="1"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90"/>
      <c r="U113" s="290"/>
      <c r="V113" s="291"/>
      <c r="W113" s="291"/>
    </row>
    <row r="115" spans="1:31">
      <c r="C115" s="13" t="s">
        <v>70</v>
      </c>
      <c r="D115" s="1">
        <v>200</v>
      </c>
      <c r="T115" s="182" t="s">
        <v>11</v>
      </c>
      <c r="U115" s="182"/>
      <c r="V115" s="182" t="s">
        <v>12</v>
      </c>
      <c r="W115" s="182"/>
      <c r="AE115" s="22">
        <f>SUM(AE116:AE118)</f>
        <v>2.2000000000000002</v>
      </c>
    </row>
    <row r="116" spans="1:31">
      <c r="E116" s="183" t="s">
        <v>58</v>
      </c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4">
        <v>0.6</v>
      </c>
      <c r="U116" s="184"/>
      <c r="V116" s="184">
        <v>0.6</v>
      </c>
      <c r="W116" s="184"/>
      <c r="AD116" s="10">
        <v>500</v>
      </c>
      <c r="AE116" s="10">
        <f>T116*AD116/1000</f>
        <v>0.3</v>
      </c>
    </row>
    <row r="117" spans="1:31">
      <c r="E117" s="185" t="s">
        <v>20</v>
      </c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7"/>
      <c r="T117" s="188">
        <v>15</v>
      </c>
      <c r="U117" s="189"/>
      <c r="V117" s="188">
        <v>15</v>
      </c>
      <c r="W117" s="189"/>
      <c r="AD117" s="10">
        <v>55</v>
      </c>
      <c r="AE117" s="10">
        <f t="shared" ref="AE117:AE118" si="10">T117*AD117/1000</f>
        <v>0.82499999999999996</v>
      </c>
    </row>
    <row r="118" spans="1:31">
      <c r="E118" s="185" t="s">
        <v>71</v>
      </c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7"/>
      <c r="T118" s="188">
        <v>5</v>
      </c>
      <c r="U118" s="189"/>
      <c r="V118" s="188">
        <v>4</v>
      </c>
      <c r="W118" s="189"/>
      <c r="AD118" s="10">
        <v>215</v>
      </c>
      <c r="AE118" s="10">
        <f t="shared" si="10"/>
        <v>1.075</v>
      </c>
    </row>
    <row r="119" spans="1:31">
      <c r="E119" s="190" t="s">
        <v>21</v>
      </c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1" t="s">
        <v>22</v>
      </c>
      <c r="U119" s="191"/>
      <c r="V119" s="191" t="s">
        <v>72</v>
      </c>
      <c r="W119" s="191"/>
    </row>
    <row r="121" spans="1:31">
      <c r="C121" s="13" t="s">
        <v>26</v>
      </c>
      <c r="D121" s="1">
        <v>40</v>
      </c>
      <c r="AD121" s="10">
        <v>45.54</v>
      </c>
      <c r="AE121" s="22">
        <f>AD121*D121/1000</f>
        <v>1.8215999999999999</v>
      </c>
    </row>
    <row r="123" spans="1:31">
      <c r="A123" s="13" t="s">
        <v>73</v>
      </c>
      <c r="B123" s="13" t="s">
        <v>1</v>
      </c>
      <c r="C123" s="76" t="s">
        <v>192</v>
      </c>
      <c r="D123" s="94">
        <v>40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195" t="s">
        <v>11</v>
      </c>
      <c r="U123" s="195"/>
      <c r="V123" s="195" t="s">
        <v>12</v>
      </c>
      <c r="W123" s="195"/>
      <c r="X123" s="30"/>
      <c r="Y123" s="30"/>
      <c r="Z123" s="30"/>
      <c r="AA123" s="30"/>
      <c r="AB123" s="30"/>
      <c r="AC123" s="30"/>
      <c r="AD123" s="31"/>
      <c r="AE123" s="81">
        <f>AE124</f>
        <v>3.532</v>
      </c>
    </row>
    <row r="124" spans="1:31">
      <c r="A124" s="13" t="s">
        <v>203</v>
      </c>
      <c r="B124" s="28">
        <f>AE123+AE129+AE131+AE140+AE142+AE144</f>
        <v>42.307299999999998</v>
      </c>
      <c r="C124" s="76"/>
      <c r="D124" s="30"/>
      <c r="E124" s="196" t="s">
        <v>192</v>
      </c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7">
        <v>40</v>
      </c>
      <c r="U124" s="197"/>
      <c r="V124" s="197">
        <v>40</v>
      </c>
      <c r="W124" s="197"/>
      <c r="X124" s="30"/>
      <c r="Y124" s="30"/>
      <c r="Z124" s="30"/>
      <c r="AA124" s="30"/>
      <c r="AB124" s="30"/>
      <c r="AC124" s="30"/>
      <c r="AD124" s="31">
        <v>88.3</v>
      </c>
      <c r="AE124" s="31">
        <f>T124*AD124/1000</f>
        <v>3.532</v>
      </c>
    </row>
    <row r="125" spans="1:31">
      <c r="C125" s="76"/>
      <c r="D125" s="30"/>
      <c r="E125" s="198" t="s">
        <v>21</v>
      </c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9" t="s">
        <v>22</v>
      </c>
      <c r="U125" s="199"/>
      <c r="V125" s="200">
        <v>20</v>
      </c>
      <c r="W125" s="200"/>
      <c r="X125" s="30"/>
      <c r="Y125" s="30"/>
      <c r="Z125" s="30"/>
      <c r="AA125" s="30"/>
      <c r="AB125" s="30"/>
      <c r="AC125" s="30"/>
      <c r="AD125" s="31"/>
      <c r="AE125" s="31"/>
    </row>
    <row r="126" spans="1:31">
      <c r="T126" s="201" t="s">
        <v>11</v>
      </c>
      <c r="U126" s="201"/>
      <c r="V126" s="201" t="s">
        <v>12</v>
      </c>
      <c r="W126" s="201"/>
    </row>
    <row r="127" spans="1:31">
      <c r="C127" s="103" t="s">
        <v>76</v>
      </c>
      <c r="D127" s="104">
        <v>50</v>
      </c>
      <c r="E127" s="349" t="s">
        <v>77</v>
      </c>
      <c r="F127" s="349"/>
      <c r="G127" s="349"/>
      <c r="H127" s="349"/>
      <c r="I127" s="349"/>
      <c r="J127" s="349"/>
      <c r="K127" s="349"/>
      <c r="L127" s="349"/>
      <c r="M127" s="349"/>
      <c r="N127" s="349"/>
      <c r="O127" s="349"/>
      <c r="P127" s="349"/>
      <c r="Q127" s="349"/>
      <c r="R127" s="349"/>
      <c r="S127" s="349"/>
      <c r="T127" s="350">
        <v>53.75</v>
      </c>
      <c r="U127" s="350"/>
      <c r="V127" s="350">
        <v>50</v>
      </c>
      <c r="W127" s="350"/>
      <c r="X127" s="104"/>
      <c r="Y127" s="104"/>
      <c r="Z127" s="104"/>
      <c r="AA127" s="104"/>
      <c r="AB127" s="104"/>
      <c r="AC127" s="104"/>
      <c r="AD127" s="105">
        <v>160</v>
      </c>
      <c r="AE127" s="105">
        <f>T127*AD127/1000</f>
        <v>8.6</v>
      </c>
    </row>
    <row r="128" spans="1:31">
      <c r="T128" s="201" t="s">
        <v>11</v>
      </c>
      <c r="U128" s="201"/>
      <c r="V128" s="201" t="s">
        <v>12</v>
      </c>
      <c r="W128" s="201"/>
    </row>
    <row r="129" spans="3:31" s="1" customFormat="1">
      <c r="C129" s="95" t="s">
        <v>79</v>
      </c>
      <c r="D129" s="96">
        <v>20</v>
      </c>
      <c r="E129" s="256" t="s">
        <v>78</v>
      </c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7">
        <v>21</v>
      </c>
      <c r="U129" s="257"/>
      <c r="V129" s="257">
        <v>20</v>
      </c>
      <c r="W129" s="257"/>
      <c r="X129" s="96"/>
      <c r="Y129" s="96"/>
      <c r="Z129" s="96"/>
      <c r="AA129" s="96"/>
      <c r="AB129" s="96"/>
      <c r="AC129" s="96"/>
      <c r="AD129" s="97">
        <v>430.2</v>
      </c>
      <c r="AE129" s="29">
        <f>T129*AD129/1000</f>
        <v>9.0341999999999985</v>
      </c>
    </row>
    <row r="131" spans="3:31" s="1" customFormat="1">
      <c r="C131" s="13" t="s">
        <v>80</v>
      </c>
      <c r="D131" s="1">
        <v>250</v>
      </c>
      <c r="T131" s="182" t="s">
        <v>11</v>
      </c>
      <c r="U131" s="182"/>
      <c r="V131" s="182" t="s">
        <v>12</v>
      </c>
      <c r="W131" s="182"/>
      <c r="AD131" s="10"/>
      <c r="AE131" s="29">
        <f>SUM(AE132:AE137)</f>
        <v>26.450500000000002</v>
      </c>
    </row>
    <row r="132" spans="3:31" s="1" customFormat="1">
      <c r="C132" s="13"/>
      <c r="E132" s="256" t="s">
        <v>52</v>
      </c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7">
        <v>125</v>
      </c>
      <c r="U132" s="257"/>
      <c r="V132" s="257">
        <v>125</v>
      </c>
      <c r="W132" s="257"/>
      <c r="AD132" s="10">
        <v>140</v>
      </c>
      <c r="AE132" s="10">
        <f>T132*AD132/1000</f>
        <v>17.5</v>
      </c>
    </row>
    <row r="133" spans="3:31" s="1" customFormat="1">
      <c r="C133" s="13"/>
      <c r="E133" s="237" t="s">
        <v>16</v>
      </c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9"/>
      <c r="T133" s="233">
        <v>100</v>
      </c>
      <c r="U133" s="234"/>
      <c r="V133" s="257">
        <v>100</v>
      </c>
      <c r="W133" s="257"/>
      <c r="AD133" s="10">
        <v>48.17</v>
      </c>
      <c r="AE133" s="10">
        <f t="shared" ref="AE133:AE137" si="11">T133*AD133/1000</f>
        <v>4.8170000000000002</v>
      </c>
    </row>
    <row r="134" spans="3:31" s="1" customFormat="1">
      <c r="C134" s="13"/>
      <c r="E134" s="237" t="s">
        <v>18</v>
      </c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9"/>
      <c r="T134" s="233">
        <v>3.75</v>
      </c>
      <c r="U134" s="234"/>
      <c r="V134" s="257">
        <v>3.75</v>
      </c>
      <c r="W134" s="257"/>
      <c r="AD134" s="10">
        <v>550</v>
      </c>
      <c r="AE134" s="10">
        <f t="shared" si="11"/>
        <v>2.0625</v>
      </c>
    </row>
    <row r="135" spans="3:31" s="1" customFormat="1">
      <c r="C135" s="13"/>
      <c r="E135" s="237" t="s">
        <v>17</v>
      </c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9"/>
      <c r="T135" s="233">
        <v>56.25</v>
      </c>
      <c r="U135" s="234"/>
      <c r="V135" s="257">
        <v>56.25</v>
      </c>
      <c r="W135" s="257"/>
      <c r="AD135" s="10"/>
      <c r="AE135" s="10">
        <f t="shared" si="11"/>
        <v>0</v>
      </c>
    </row>
    <row r="136" spans="3:31" s="1" customFormat="1">
      <c r="C136" s="13"/>
      <c r="E136" s="237" t="s">
        <v>18</v>
      </c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9"/>
      <c r="T136" s="235">
        <v>3.75</v>
      </c>
      <c r="U136" s="236"/>
      <c r="V136" s="257">
        <v>3.75</v>
      </c>
      <c r="W136" s="257"/>
      <c r="AD136" s="10">
        <v>550</v>
      </c>
      <c r="AE136" s="10">
        <f t="shared" si="11"/>
        <v>2.0625</v>
      </c>
    </row>
    <row r="137" spans="3:31" s="1" customFormat="1">
      <c r="C137" s="13"/>
      <c r="E137" s="256" t="s">
        <v>19</v>
      </c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7">
        <v>0.5</v>
      </c>
      <c r="U137" s="257"/>
      <c r="V137" s="257">
        <v>0.5</v>
      </c>
      <c r="W137" s="257"/>
      <c r="AD137" s="10">
        <v>17</v>
      </c>
      <c r="AE137" s="10">
        <f t="shared" si="11"/>
        <v>8.5000000000000006E-3</v>
      </c>
    </row>
    <row r="138" spans="3:31" s="1" customFormat="1">
      <c r="C138" s="13"/>
      <c r="E138" s="289" t="s">
        <v>21</v>
      </c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90" t="s">
        <v>22</v>
      </c>
      <c r="U138" s="290"/>
      <c r="V138" s="291">
        <v>250</v>
      </c>
      <c r="W138" s="291"/>
      <c r="AD138" s="10"/>
      <c r="AE138" s="10"/>
    </row>
    <row r="139" spans="3:31" s="1" customFormat="1">
      <c r="C139" s="13"/>
      <c r="T139" s="182" t="s">
        <v>11</v>
      </c>
      <c r="U139" s="182"/>
      <c r="V139" s="182" t="s">
        <v>12</v>
      </c>
      <c r="W139" s="182"/>
      <c r="AD139" s="10"/>
      <c r="AE139" s="10"/>
    </row>
    <row r="140" spans="3:31" s="1" customFormat="1">
      <c r="C140" s="93" t="s">
        <v>81</v>
      </c>
      <c r="D140" s="94"/>
      <c r="E140" s="347" t="s">
        <v>82</v>
      </c>
      <c r="F140" s="347"/>
      <c r="G140" s="347"/>
      <c r="H140" s="347"/>
      <c r="I140" s="347"/>
      <c r="J140" s="347"/>
      <c r="K140" s="347"/>
      <c r="L140" s="347"/>
      <c r="M140" s="347"/>
      <c r="N140" s="347"/>
      <c r="O140" s="347"/>
      <c r="P140" s="347"/>
      <c r="Q140" s="347"/>
      <c r="R140" s="347"/>
      <c r="S140" s="347"/>
      <c r="T140" s="348">
        <v>100</v>
      </c>
      <c r="U140" s="348"/>
      <c r="V140" s="348">
        <v>100</v>
      </c>
      <c r="W140" s="348"/>
      <c r="AD140" s="10"/>
      <c r="AE140" s="29">
        <f>T140*AD140/1000</f>
        <v>0</v>
      </c>
    </row>
    <row r="142" spans="3:31" s="1" customFormat="1">
      <c r="C142" s="13" t="s">
        <v>59</v>
      </c>
      <c r="D142" s="1">
        <v>40</v>
      </c>
      <c r="AD142" s="10">
        <v>54.14</v>
      </c>
      <c r="AE142" s="29">
        <f>D142*AD142/1000</f>
        <v>2.1656</v>
      </c>
    </row>
    <row r="144" spans="3:31" s="1" customFormat="1">
      <c r="C144" s="13" t="s">
        <v>57</v>
      </c>
      <c r="D144" s="1">
        <v>200</v>
      </c>
      <c r="T144" s="182" t="s">
        <v>11</v>
      </c>
      <c r="U144" s="182"/>
      <c r="V144" s="182" t="s">
        <v>12</v>
      </c>
      <c r="W144" s="182"/>
      <c r="AD144" s="10"/>
      <c r="AE144" s="29">
        <f>AE145+AE146</f>
        <v>1.125</v>
      </c>
    </row>
    <row r="145" spans="1:31">
      <c r="E145" s="183" t="s">
        <v>58</v>
      </c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4">
        <v>0.6</v>
      </c>
      <c r="U145" s="184"/>
      <c r="V145" s="184">
        <v>0.6</v>
      </c>
      <c r="W145" s="184"/>
      <c r="AD145" s="10">
        <v>500</v>
      </c>
      <c r="AE145" s="10">
        <f>AD145*T145/1000</f>
        <v>0.3</v>
      </c>
    </row>
    <row r="146" spans="1:31">
      <c r="E146" s="185" t="s">
        <v>20</v>
      </c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7"/>
      <c r="T146" s="188">
        <v>15</v>
      </c>
      <c r="U146" s="189"/>
      <c r="V146" s="188">
        <v>15</v>
      </c>
      <c r="W146" s="189"/>
      <c r="AD146" s="10">
        <v>55</v>
      </c>
      <c r="AE146" s="10">
        <f>AD146*T146/1000</f>
        <v>0.82499999999999996</v>
      </c>
    </row>
    <row r="147" spans="1:31">
      <c r="E147" s="190" t="s">
        <v>21</v>
      </c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1" t="s">
        <v>22</v>
      </c>
      <c r="U147" s="191"/>
      <c r="V147" s="192">
        <v>200</v>
      </c>
      <c r="W147" s="192"/>
    </row>
    <row r="150" spans="1:31" hidden="1">
      <c r="A150" s="77" t="s">
        <v>83</v>
      </c>
      <c r="B150" s="77" t="s">
        <v>1</v>
      </c>
      <c r="C150" s="77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32"/>
      <c r="AE150" s="32"/>
    </row>
    <row r="151" spans="1:31" hidden="1">
      <c r="A151" s="77"/>
      <c r="B151" s="79">
        <f>AE151+AE153+AE165+AE172+AE174</f>
        <v>67.155680000000004</v>
      </c>
      <c r="C151" s="77" t="s">
        <v>84</v>
      </c>
      <c r="D151" s="78"/>
      <c r="E151" s="261" t="s">
        <v>85</v>
      </c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2">
        <v>102</v>
      </c>
      <c r="U151" s="262"/>
      <c r="V151" s="262">
        <v>100</v>
      </c>
      <c r="W151" s="262"/>
      <c r="X151" s="78"/>
      <c r="Y151" s="78"/>
      <c r="Z151" s="78"/>
      <c r="AA151" s="78"/>
      <c r="AB151" s="78"/>
      <c r="AC151" s="78"/>
      <c r="AD151" s="32">
        <v>105</v>
      </c>
      <c r="AE151" s="32">
        <f>T151*AD151/1000</f>
        <v>10.71</v>
      </c>
    </row>
    <row r="152" spans="1:31" hidden="1">
      <c r="A152" s="77"/>
      <c r="B152" s="77"/>
      <c r="C152" s="77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32"/>
      <c r="AE152" s="32"/>
    </row>
    <row r="153" spans="1:31" hidden="1">
      <c r="A153" s="77"/>
      <c r="B153" s="77"/>
      <c r="C153" s="77" t="s">
        <v>86</v>
      </c>
      <c r="D153" s="78">
        <v>90</v>
      </c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267" t="s">
        <v>11</v>
      </c>
      <c r="U153" s="267"/>
      <c r="V153" s="267" t="s">
        <v>12</v>
      </c>
      <c r="W153" s="267"/>
      <c r="X153" s="78"/>
      <c r="Y153" s="78"/>
      <c r="Z153" s="78"/>
      <c r="AA153" s="78"/>
      <c r="AB153" s="78"/>
      <c r="AC153" s="78"/>
      <c r="AD153" s="32"/>
      <c r="AE153" s="32">
        <f>SUM(AE154:AE162)</f>
        <v>38.222900000000003</v>
      </c>
    </row>
    <row r="154" spans="1:31" hidden="1">
      <c r="A154" s="77"/>
      <c r="B154" s="77"/>
      <c r="C154" s="77"/>
      <c r="D154" s="78"/>
      <c r="E154" s="261" t="s">
        <v>63</v>
      </c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2">
        <f>50*V163/90</f>
        <v>50</v>
      </c>
      <c r="U154" s="262"/>
      <c r="V154" s="262">
        <f>42*V163/90</f>
        <v>42</v>
      </c>
      <c r="W154" s="262"/>
      <c r="X154" s="78"/>
      <c r="Y154" s="78"/>
      <c r="Z154" s="78"/>
      <c r="AA154" s="78"/>
      <c r="AB154" s="78"/>
      <c r="AC154" s="78"/>
      <c r="AD154" s="32">
        <v>548</v>
      </c>
      <c r="AE154" s="32">
        <f>T154*AD154/1000</f>
        <v>27.4</v>
      </c>
    </row>
    <row r="155" spans="1:31" hidden="1">
      <c r="A155" s="77"/>
      <c r="B155" s="77"/>
      <c r="C155" s="77"/>
      <c r="D155" s="78"/>
      <c r="E155" s="263" t="s">
        <v>87</v>
      </c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5"/>
      <c r="T155" s="259">
        <f>24*V163/90</f>
        <v>24</v>
      </c>
      <c r="U155" s="260"/>
      <c r="V155" s="259">
        <f>20*V163/90</f>
        <v>20</v>
      </c>
      <c r="W155" s="260"/>
      <c r="X155" s="78"/>
      <c r="Y155" s="78"/>
      <c r="Z155" s="78"/>
      <c r="AA155" s="78"/>
      <c r="AB155" s="78"/>
      <c r="AC155" s="78"/>
      <c r="AD155" s="32">
        <v>330</v>
      </c>
      <c r="AE155" s="32">
        <f t="shared" ref="AE155:AE162" si="12">T155*AD155/1000</f>
        <v>7.92</v>
      </c>
    </row>
    <row r="156" spans="1:31" hidden="1">
      <c r="A156" s="77"/>
      <c r="B156" s="77"/>
      <c r="C156" s="77"/>
      <c r="D156" s="78"/>
      <c r="E156" s="263" t="s">
        <v>88</v>
      </c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5"/>
      <c r="T156" s="259">
        <f>13.5*V163/90</f>
        <v>13.5</v>
      </c>
      <c r="U156" s="260"/>
      <c r="V156" s="259">
        <f>T156</f>
        <v>13.5</v>
      </c>
      <c r="W156" s="260"/>
      <c r="X156" s="78"/>
      <c r="Y156" s="78"/>
      <c r="Z156" s="78"/>
      <c r="AA156" s="78"/>
      <c r="AB156" s="78"/>
      <c r="AC156" s="78"/>
      <c r="AD156" s="32">
        <v>45.54</v>
      </c>
      <c r="AE156" s="32">
        <f t="shared" si="12"/>
        <v>0.61478999999999995</v>
      </c>
    </row>
    <row r="157" spans="1:31" hidden="1">
      <c r="A157" s="77"/>
      <c r="B157" s="77"/>
      <c r="C157" s="77"/>
      <c r="D157" s="78"/>
      <c r="E157" s="263" t="s">
        <v>64</v>
      </c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5"/>
      <c r="T157" s="259">
        <f>4*V163/90</f>
        <v>4</v>
      </c>
      <c r="U157" s="260"/>
      <c r="V157" s="259">
        <f t="shared" ref="V157:V162" si="13">T157</f>
        <v>4</v>
      </c>
      <c r="W157" s="260"/>
      <c r="X157" s="78"/>
      <c r="Y157" s="78"/>
      <c r="Z157" s="78"/>
      <c r="AA157" s="78"/>
      <c r="AB157" s="78"/>
      <c r="AC157" s="78"/>
      <c r="AD157" s="32">
        <v>140</v>
      </c>
      <c r="AE157" s="32">
        <f t="shared" si="12"/>
        <v>0.56000000000000005</v>
      </c>
    </row>
    <row r="158" spans="1:31" hidden="1">
      <c r="A158" s="77"/>
      <c r="B158" s="77"/>
      <c r="C158" s="77"/>
      <c r="D158" s="78"/>
      <c r="E158" s="263" t="s">
        <v>89</v>
      </c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5"/>
      <c r="T158" s="259">
        <f>3.5*V163/90</f>
        <v>3.5</v>
      </c>
      <c r="U158" s="260"/>
      <c r="V158" s="259">
        <f t="shared" si="13"/>
        <v>3.5</v>
      </c>
      <c r="W158" s="260"/>
      <c r="X158" s="78"/>
      <c r="Y158" s="78"/>
      <c r="Z158" s="78"/>
      <c r="AA158" s="78"/>
      <c r="AB158" s="78"/>
      <c r="AC158" s="78"/>
      <c r="AD158" s="32">
        <v>20</v>
      </c>
      <c r="AE158" s="32">
        <f t="shared" si="12"/>
        <v>7.0000000000000007E-2</v>
      </c>
    </row>
    <row r="159" spans="1:31" hidden="1">
      <c r="A159" s="77"/>
      <c r="B159" s="77"/>
      <c r="C159" s="77"/>
      <c r="D159" s="78"/>
      <c r="E159" s="263" t="s">
        <v>16</v>
      </c>
      <c r="F159" s="264"/>
      <c r="G159" s="264"/>
      <c r="H159" s="264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265"/>
      <c r="T159" s="259">
        <f>13*V163/90</f>
        <v>13</v>
      </c>
      <c r="U159" s="260"/>
      <c r="V159" s="259">
        <f t="shared" si="13"/>
        <v>13</v>
      </c>
      <c r="W159" s="260"/>
      <c r="X159" s="78"/>
      <c r="Y159" s="78"/>
      <c r="Z159" s="78"/>
      <c r="AA159" s="78"/>
      <c r="AB159" s="78"/>
      <c r="AC159" s="78"/>
      <c r="AD159" s="32">
        <v>48.17</v>
      </c>
      <c r="AE159" s="32">
        <f t="shared" si="12"/>
        <v>0.62621000000000004</v>
      </c>
    </row>
    <row r="160" spans="1:31" hidden="1">
      <c r="A160" s="77"/>
      <c r="B160" s="77"/>
      <c r="C160" s="77"/>
      <c r="D160" s="78"/>
      <c r="E160" s="261" t="s">
        <v>55</v>
      </c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2">
        <f>4*V163/90</f>
        <v>4</v>
      </c>
      <c r="U160" s="262"/>
      <c r="V160" s="259">
        <f t="shared" si="13"/>
        <v>4</v>
      </c>
      <c r="W160" s="260"/>
      <c r="X160" s="78"/>
      <c r="Y160" s="78"/>
      <c r="Z160" s="78"/>
      <c r="AA160" s="78"/>
      <c r="AB160" s="78"/>
      <c r="AC160" s="78"/>
      <c r="AD160" s="32">
        <v>150</v>
      </c>
      <c r="AE160" s="32">
        <f t="shared" si="12"/>
        <v>0.6</v>
      </c>
    </row>
    <row r="161" spans="1:31" hidden="1">
      <c r="A161" s="77"/>
      <c r="B161" s="77"/>
      <c r="C161" s="77"/>
      <c r="D161" s="78"/>
      <c r="E161" s="261" t="s">
        <v>19</v>
      </c>
      <c r="F161" s="261"/>
      <c r="G161" s="261"/>
      <c r="H161" s="261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261"/>
      <c r="T161" s="262">
        <f>0.7*V163/90</f>
        <v>0.7</v>
      </c>
      <c r="U161" s="262"/>
      <c r="V161" s="259">
        <f t="shared" si="13"/>
        <v>0.7</v>
      </c>
      <c r="W161" s="260"/>
      <c r="X161" s="78"/>
      <c r="Y161" s="78"/>
      <c r="Z161" s="78"/>
      <c r="AA161" s="78"/>
      <c r="AB161" s="78"/>
      <c r="AC161" s="78"/>
      <c r="AD161" s="32">
        <v>17</v>
      </c>
      <c r="AE161" s="32">
        <f t="shared" si="12"/>
        <v>1.1899999999999999E-2</v>
      </c>
    </row>
    <row r="162" spans="1:31" hidden="1">
      <c r="A162" s="77"/>
      <c r="B162" s="77"/>
      <c r="C162" s="77"/>
      <c r="D162" s="78"/>
      <c r="E162" s="263" t="s">
        <v>67</v>
      </c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5"/>
      <c r="T162" s="259">
        <f>3*V163/90</f>
        <v>3</v>
      </c>
      <c r="U162" s="260"/>
      <c r="V162" s="259">
        <f t="shared" si="13"/>
        <v>3</v>
      </c>
      <c r="W162" s="260"/>
      <c r="X162" s="78"/>
      <c r="Y162" s="78"/>
      <c r="Z162" s="78"/>
      <c r="AA162" s="78"/>
      <c r="AB162" s="78"/>
      <c r="AC162" s="78"/>
      <c r="AD162" s="32">
        <v>140</v>
      </c>
      <c r="AE162" s="32">
        <f t="shared" si="12"/>
        <v>0.42</v>
      </c>
    </row>
    <row r="163" spans="1:31" hidden="1">
      <c r="A163" s="77"/>
      <c r="B163" s="77"/>
      <c r="C163" s="77"/>
      <c r="D163" s="78"/>
      <c r="E163" s="266" t="s">
        <v>21</v>
      </c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68" t="s">
        <v>22</v>
      </c>
      <c r="U163" s="268"/>
      <c r="V163" s="269">
        <v>90</v>
      </c>
      <c r="W163" s="269"/>
      <c r="X163" s="78"/>
      <c r="Y163" s="78"/>
      <c r="Z163" s="78"/>
      <c r="AA163" s="78"/>
      <c r="AB163" s="78"/>
      <c r="AC163" s="78"/>
      <c r="AD163" s="32"/>
      <c r="AE163" s="32"/>
    </row>
    <row r="164" spans="1:31" hidden="1">
      <c r="A164" s="77"/>
      <c r="B164" s="77"/>
      <c r="C164" s="77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32"/>
      <c r="AE164" s="32"/>
    </row>
    <row r="165" spans="1:31" hidden="1">
      <c r="A165" s="77"/>
      <c r="B165" s="77"/>
      <c r="C165" s="77" t="s">
        <v>90</v>
      </c>
      <c r="D165" s="78">
        <v>150</v>
      </c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267" t="s">
        <v>11</v>
      </c>
      <c r="U165" s="267"/>
      <c r="V165" s="267" t="s">
        <v>12</v>
      </c>
      <c r="W165" s="267"/>
      <c r="X165" s="78"/>
      <c r="Y165" s="78"/>
      <c r="Z165" s="78"/>
      <c r="AA165" s="78"/>
      <c r="AB165" s="78"/>
      <c r="AC165" s="78"/>
      <c r="AD165" s="32"/>
      <c r="AE165" s="32">
        <f>SUM(AE166:AE169)</f>
        <v>7.4011799999999992</v>
      </c>
    </row>
    <row r="166" spans="1:31" hidden="1">
      <c r="A166" s="77"/>
      <c r="B166" s="77"/>
      <c r="C166" s="77"/>
      <c r="D166" s="78"/>
      <c r="E166" s="261" t="s">
        <v>91</v>
      </c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2">
        <f>170*V170/150</f>
        <v>170</v>
      </c>
      <c r="U166" s="262"/>
      <c r="V166" s="262">
        <f>128*V170/150</f>
        <v>128</v>
      </c>
      <c r="W166" s="262"/>
      <c r="X166" s="78"/>
      <c r="Y166" s="78"/>
      <c r="Z166" s="78"/>
      <c r="AA166" s="78"/>
      <c r="AB166" s="78"/>
      <c r="AC166" s="78"/>
      <c r="AD166" s="32">
        <v>27</v>
      </c>
      <c r="AE166" s="32">
        <f>T166*AD166/1000</f>
        <v>4.59</v>
      </c>
    </row>
    <row r="167" spans="1:31" hidden="1">
      <c r="A167" s="77"/>
      <c r="B167" s="77"/>
      <c r="C167" s="77"/>
      <c r="D167" s="78"/>
      <c r="E167" s="263" t="s">
        <v>16</v>
      </c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5"/>
      <c r="T167" s="259">
        <f>24*V170/150</f>
        <v>24</v>
      </c>
      <c r="U167" s="260"/>
      <c r="V167" s="259">
        <f>24*V170/150</f>
        <v>24</v>
      </c>
      <c r="W167" s="260"/>
      <c r="X167" s="78"/>
      <c r="Y167" s="78"/>
      <c r="Z167" s="78"/>
      <c r="AA167" s="78"/>
      <c r="AB167" s="78"/>
      <c r="AC167" s="78"/>
      <c r="AD167" s="32">
        <v>48.17</v>
      </c>
      <c r="AE167" s="32">
        <f t="shared" ref="AE167:AE169" si="14">T167*AD167/1000</f>
        <v>1.15608</v>
      </c>
    </row>
    <row r="168" spans="1:31" hidden="1">
      <c r="A168" s="77"/>
      <c r="B168" s="77"/>
      <c r="C168" s="77"/>
      <c r="D168" s="78"/>
      <c r="E168" s="263" t="s">
        <v>18</v>
      </c>
      <c r="F168" s="264"/>
      <c r="G168" s="264"/>
      <c r="H168" s="264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5"/>
      <c r="T168" s="259">
        <f>3*V170/150</f>
        <v>3</v>
      </c>
      <c r="U168" s="260"/>
      <c r="V168" s="259">
        <f>3*V170/150</f>
        <v>3</v>
      </c>
      <c r="W168" s="260"/>
      <c r="X168" s="78"/>
      <c r="Y168" s="78"/>
      <c r="Z168" s="78"/>
      <c r="AA168" s="78"/>
      <c r="AB168" s="78"/>
      <c r="AC168" s="78"/>
      <c r="AD168" s="32">
        <v>550</v>
      </c>
      <c r="AE168" s="32">
        <f t="shared" si="14"/>
        <v>1.65</v>
      </c>
    </row>
    <row r="169" spans="1:31" hidden="1">
      <c r="A169" s="77"/>
      <c r="B169" s="77"/>
      <c r="C169" s="77"/>
      <c r="D169" s="78"/>
      <c r="E169" s="261" t="s">
        <v>19</v>
      </c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2">
        <f>0.3*V170/150</f>
        <v>0.3</v>
      </c>
      <c r="U169" s="262"/>
      <c r="V169" s="262">
        <f>0.3*V170/150</f>
        <v>0.3</v>
      </c>
      <c r="W169" s="262"/>
      <c r="X169" s="78"/>
      <c r="Y169" s="78"/>
      <c r="Z169" s="78"/>
      <c r="AA169" s="78"/>
      <c r="AB169" s="78"/>
      <c r="AC169" s="78"/>
      <c r="AD169" s="32">
        <v>17</v>
      </c>
      <c r="AE169" s="32">
        <f t="shared" si="14"/>
        <v>5.0999999999999995E-3</v>
      </c>
    </row>
    <row r="170" spans="1:31" hidden="1">
      <c r="A170" s="77"/>
      <c r="B170" s="77"/>
      <c r="C170" s="77"/>
      <c r="D170" s="78"/>
      <c r="E170" s="266" t="s">
        <v>21</v>
      </c>
      <c r="F170" s="266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266"/>
      <c r="T170" s="268" t="s">
        <v>22</v>
      </c>
      <c r="U170" s="268"/>
      <c r="V170" s="269">
        <v>150</v>
      </c>
      <c r="W170" s="269"/>
      <c r="X170" s="78"/>
      <c r="Y170" s="78"/>
      <c r="Z170" s="78"/>
      <c r="AA170" s="78"/>
      <c r="AB170" s="78"/>
      <c r="AC170" s="78"/>
      <c r="AD170" s="32"/>
      <c r="AE170" s="32"/>
    </row>
    <row r="171" spans="1:31" hidden="1">
      <c r="A171" s="77"/>
      <c r="B171" s="77"/>
      <c r="C171" s="77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32"/>
      <c r="AE171" s="32"/>
    </row>
    <row r="172" spans="1:31" hidden="1">
      <c r="A172" s="77"/>
      <c r="B172" s="77"/>
      <c r="C172" s="77" t="s">
        <v>92</v>
      </c>
      <c r="D172" s="78">
        <v>200</v>
      </c>
      <c r="E172" s="261" t="s">
        <v>93</v>
      </c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70">
        <v>200</v>
      </c>
      <c r="U172" s="270"/>
      <c r="V172" s="270">
        <v>200</v>
      </c>
      <c r="W172" s="270"/>
      <c r="X172" s="78"/>
      <c r="Y172" s="78"/>
      <c r="Z172" s="78"/>
      <c r="AA172" s="78"/>
      <c r="AB172" s="78"/>
      <c r="AC172" s="78"/>
      <c r="AD172" s="32">
        <v>45</v>
      </c>
      <c r="AE172" s="32">
        <f>T172*AD172/1000</f>
        <v>9</v>
      </c>
    </row>
    <row r="173" spans="1:31" hidden="1">
      <c r="A173" s="77"/>
      <c r="B173" s="77"/>
      <c r="C173" s="77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32"/>
      <c r="AE173" s="32"/>
    </row>
    <row r="174" spans="1:31" hidden="1">
      <c r="A174" s="77"/>
      <c r="B174" s="77"/>
      <c r="C174" s="77" t="s">
        <v>26</v>
      </c>
      <c r="D174" s="78">
        <v>40</v>
      </c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32">
        <v>45.54</v>
      </c>
      <c r="AE174" s="32">
        <f>D174*AD174/1000</f>
        <v>1.8215999999999999</v>
      </c>
    </row>
    <row r="176" spans="1:31">
      <c r="A176" s="13" t="s">
        <v>83</v>
      </c>
      <c r="B176" s="13" t="s">
        <v>1</v>
      </c>
    </row>
    <row r="177" spans="1:31">
      <c r="A177" s="1" t="s">
        <v>200</v>
      </c>
      <c r="B177" s="35">
        <f>AE177+AE179+AE181+AE189+AE196</f>
        <v>41.824299999999994</v>
      </c>
      <c r="C177" s="13" t="s">
        <v>2</v>
      </c>
      <c r="E177" s="183" t="s">
        <v>2</v>
      </c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4">
        <v>100</v>
      </c>
      <c r="U177" s="184"/>
      <c r="V177" s="184">
        <v>100</v>
      </c>
      <c r="W177" s="184"/>
      <c r="AD177" s="10">
        <v>62.4</v>
      </c>
      <c r="AE177" s="36">
        <f>T177*AD177/1000</f>
        <v>6.24</v>
      </c>
    </row>
    <row r="179" spans="1:31">
      <c r="A179" s="1"/>
      <c r="C179" s="13" t="s">
        <v>97</v>
      </c>
      <c r="D179" s="1">
        <v>20</v>
      </c>
      <c r="E179" s="183" t="s">
        <v>78</v>
      </c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4">
        <v>21</v>
      </c>
      <c r="U179" s="184"/>
      <c r="V179" s="184">
        <v>20</v>
      </c>
      <c r="W179" s="184"/>
      <c r="AD179" s="10">
        <v>430.2</v>
      </c>
      <c r="AE179" s="36">
        <f>T179*AD179/1000</f>
        <v>9.0341999999999985</v>
      </c>
    </row>
    <row r="181" spans="1:31">
      <c r="A181" s="1"/>
      <c r="C181" s="13" t="s">
        <v>98</v>
      </c>
      <c r="D181" s="1">
        <v>200</v>
      </c>
      <c r="T181" s="182" t="s">
        <v>11</v>
      </c>
      <c r="U181" s="182"/>
      <c r="V181" s="182" t="s">
        <v>12</v>
      </c>
      <c r="W181" s="182"/>
      <c r="AE181" s="36">
        <f>SUM(AE182:AE186)</f>
        <v>17.2225</v>
      </c>
    </row>
    <row r="182" spans="1:31">
      <c r="A182" s="1"/>
      <c r="E182" s="183" t="s">
        <v>99</v>
      </c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4">
        <f>50*V187/200</f>
        <v>50</v>
      </c>
      <c r="U182" s="184"/>
      <c r="V182" s="184">
        <f>T182</f>
        <v>50</v>
      </c>
      <c r="W182" s="184"/>
      <c r="AD182" s="10">
        <v>90</v>
      </c>
      <c r="AE182" s="10">
        <f>T182*AD182/1000</f>
        <v>4.5</v>
      </c>
    </row>
    <row r="183" spans="1:31">
      <c r="A183" s="1"/>
      <c r="E183" s="185" t="s">
        <v>16</v>
      </c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7"/>
      <c r="T183" s="188">
        <f>200*V187/200</f>
        <v>200</v>
      </c>
      <c r="U183" s="189"/>
      <c r="V183" s="188">
        <f>T183</f>
        <v>200</v>
      </c>
      <c r="W183" s="189"/>
      <c r="AD183" s="10">
        <v>48.17</v>
      </c>
      <c r="AE183" s="10">
        <f t="shared" ref="AE183:AE186" si="15">T183*AD183/1000</f>
        <v>9.6340000000000003</v>
      </c>
    </row>
    <row r="184" spans="1:31">
      <c r="A184" s="1"/>
      <c r="E184" s="185" t="s">
        <v>20</v>
      </c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7"/>
      <c r="T184" s="188">
        <f>6*V187/200</f>
        <v>6</v>
      </c>
      <c r="U184" s="189"/>
      <c r="V184" s="188">
        <f>T184</f>
        <v>6</v>
      </c>
      <c r="W184" s="189"/>
      <c r="AD184" s="10">
        <v>55</v>
      </c>
      <c r="AE184" s="10">
        <f t="shared" si="15"/>
        <v>0.33</v>
      </c>
    </row>
    <row r="185" spans="1:31">
      <c r="A185" s="1"/>
      <c r="E185" s="185" t="s">
        <v>18</v>
      </c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7"/>
      <c r="T185" s="188">
        <f>5*V187/200</f>
        <v>5</v>
      </c>
      <c r="U185" s="189"/>
      <c r="V185" s="188">
        <f>T185</f>
        <v>5</v>
      </c>
      <c r="W185" s="189"/>
      <c r="AD185" s="10">
        <v>550</v>
      </c>
      <c r="AE185" s="10">
        <f t="shared" si="15"/>
        <v>2.75</v>
      </c>
    </row>
    <row r="186" spans="1:31">
      <c r="A186" s="1"/>
      <c r="E186" s="183" t="s">
        <v>19</v>
      </c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4">
        <f>0.5*V187/200</f>
        <v>0.5</v>
      </c>
      <c r="U186" s="184"/>
      <c r="V186" s="184">
        <f>T186</f>
        <v>0.5</v>
      </c>
      <c r="W186" s="184"/>
      <c r="AD186" s="10">
        <v>17</v>
      </c>
      <c r="AE186" s="10">
        <f t="shared" si="15"/>
        <v>8.5000000000000006E-3</v>
      </c>
    </row>
    <row r="187" spans="1:31">
      <c r="A187" s="1"/>
      <c r="E187" s="190" t="s">
        <v>21</v>
      </c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1" t="s">
        <v>22</v>
      </c>
      <c r="U187" s="191"/>
      <c r="V187" s="192">
        <v>200</v>
      </c>
      <c r="W187" s="192"/>
      <c r="AD187" s="10" t="s">
        <v>29</v>
      </c>
    </row>
    <row r="189" spans="1:31">
      <c r="A189" s="1"/>
      <c r="C189" s="13" t="s">
        <v>39</v>
      </c>
      <c r="D189" s="1">
        <v>200</v>
      </c>
      <c r="T189" s="182" t="s">
        <v>11</v>
      </c>
      <c r="U189" s="182"/>
      <c r="V189" s="182" t="s">
        <v>12</v>
      </c>
      <c r="W189" s="182"/>
      <c r="AE189" s="36">
        <f>SUM(AE190:AE193)</f>
        <v>7.1619999999999999</v>
      </c>
    </row>
    <row r="190" spans="1:31">
      <c r="A190" s="1"/>
      <c r="E190" s="183" t="s">
        <v>40</v>
      </c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4">
        <v>4</v>
      </c>
      <c r="U190" s="184"/>
      <c r="V190" s="184">
        <v>4</v>
      </c>
      <c r="W190" s="184"/>
      <c r="AD190" s="10">
        <v>380</v>
      </c>
      <c r="AE190" s="10">
        <f>AD190*T190/1000</f>
        <v>1.52</v>
      </c>
    </row>
    <row r="191" spans="1:31">
      <c r="A191" s="1"/>
      <c r="E191" s="185" t="s">
        <v>20</v>
      </c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7"/>
      <c r="T191" s="188">
        <v>15</v>
      </c>
      <c r="U191" s="189"/>
      <c r="V191" s="188">
        <v>15</v>
      </c>
      <c r="W191" s="189"/>
      <c r="AD191" s="10">
        <v>55</v>
      </c>
      <c r="AE191" s="10">
        <f t="shared" ref="AE191:AE193" si="16">AD191*T191/1000</f>
        <v>0.82499999999999996</v>
      </c>
    </row>
    <row r="192" spans="1:31">
      <c r="A192" s="1"/>
      <c r="E192" s="185" t="s">
        <v>41</v>
      </c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7"/>
      <c r="T192" s="188">
        <v>100</v>
      </c>
      <c r="U192" s="189"/>
      <c r="V192" s="188">
        <v>100</v>
      </c>
      <c r="W192" s="189"/>
      <c r="AD192" s="10">
        <v>48.17</v>
      </c>
      <c r="AE192" s="10">
        <f t="shared" si="16"/>
        <v>4.8170000000000002</v>
      </c>
    </row>
    <row r="193" spans="1:31">
      <c r="E193" s="185" t="s">
        <v>17</v>
      </c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7"/>
      <c r="T193" s="188">
        <v>81</v>
      </c>
      <c r="U193" s="189"/>
      <c r="V193" s="188">
        <v>81</v>
      </c>
      <c r="W193" s="189"/>
      <c r="AD193" s="10">
        <v>0</v>
      </c>
      <c r="AE193" s="10">
        <f t="shared" si="16"/>
        <v>0</v>
      </c>
    </row>
    <row r="194" spans="1:31">
      <c r="E194" s="190" t="s">
        <v>21</v>
      </c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1" t="s">
        <v>22</v>
      </c>
      <c r="U194" s="191"/>
      <c r="V194" s="192">
        <v>200</v>
      </c>
      <c r="W194" s="192"/>
    </row>
    <row r="196" spans="1:31">
      <c r="C196" s="13" t="s">
        <v>59</v>
      </c>
      <c r="D196" s="1">
        <v>40</v>
      </c>
      <c r="AD196" s="10">
        <v>54.14</v>
      </c>
      <c r="AE196" s="36">
        <f>D196*AD196/1000</f>
        <v>2.1656</v>
      </c>
    </row>
    <row r="198" spans="1:31">
      <c r="A198" s="13" t="s">
        <v>196</v>
      </c>
      <c r="B198" s="13" t="s">
        <v>1</v>
      </c>
    </row>
    <row r="199" spans="1:31">
      <c r="A199" s="13" t="s">
        <v>199</v>
      </c>
      <c r="B199" s="38">
        <f>AE199+AE205+AE209+AE223+AE231+AE236</f>
        <v>100.11660000000001</v>
      </c>
      <c r="C199" s="13" t="s">
        <v>28</v>
      </c>
      <c r="D199" s="1">
        <v>40</v>
      </c>
      <c r="AE199" s="37">
        <f>AE200+AE201+AE202+AE203</f>
        <v>1.9912000000000001</v>
      </c>
    </row>
    <row r="200" spans="1:31">
      <c r="E200" s="237" t="s">
        <v>31</v>
      </c>
      <c r="F200" s="238"/>
      <c r="G200" s="238"/>
      <c r="H200" s="238"/>
      <c r="I200" s="238"/>
      <c r="J200" s="238"/>
      <c r="K200" s="238"/>
      <c r="L200" s="238"/>
      <c r="M200" s="238"/>
      <c r="N200" s="238"/>
      <c r="O200" s="238"/>
      <c r="P200" s="238"/>
      <c r="Q200" s="238"/>
      <c r="R200" s="238"/>
      <c r="S200" s="239"/>
      <c r="T200" s="233">
        <v>54</v>
      </c>
      <c r="U200" s="234"/>
      <c r="AD200" s="10">
        <v>30</v>
      </c>
      <c r="AE200" s="10">
        <f>AD200*T200/1000</f>
        <v>1.62</v>
      </c>
    </row>
    <row r="201" spans="1:31">
      <c r="E201" s="237" t="s">
        <v>32</v>
      </c>
      <c r="F201" s="238"/>
      <c r="G201" s="238"/>
      <c r="H201" s="238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9"/>
      <c r="T201" s="233">
        <v>2.5</v>
      </c>
      <c r="U201" s="234"/>
      <c r="AD201" s="10">
        <v>140</v>
      </c>
      <c r="AE201" s="10">
        <f t="shared" ref="AE201:AE203" si="17">AD201*T201/1000</f>
        <v>0.35</v>
      </c>
    </row>
    <row r="202" spans="1:31">
      <c r="E202" s="237" t="s">
        <v>19</v>
      </c>
      <c r="F202" s="238"/>
      <c r="G202" s="238"/>
      <c r="H202" s="238"/>
      <c r="I202" s="238"/>
      <c r="J202" s="238"/>
      <c r="K202" s="238"/>
      <c r="L202" s="238"/>
      <c r="M202" s="238"/>
      <c r="N202" s="238"/>
      <c r="O202" s="238"/>
      <c r="P202" s="238"/>
      <c r="Q202" s="238"/>
      <c r="R202" s="238"/>
      <c r="S202" s="239"/>
      <c r="T202" s="233">
        <v>0.6</v>
      </c>
      <c r="U202" s="234"/>
      <c r="AD202" s="10">
        <v>17</v>
      </c>
      <c r="AE202" s="10">
        <f t="shared" si="17"/>
        <v>1.0199999999999999E-2</v>
      </c>
    </row>
    <row r="203" spans="1:31">
      <c r="E203" s="237" t="s">
        <v>20</v>
      </c>
      <c r="F203" s="238"/>
      <c r="G203" s="238"/>
      <c r="H203" s="238"/>
      <c r="I203" s="238"/>
      <c r="J203" s="238"/>
      <c r="K203" s="238"/>
      <c r="L203" s="238"/>
      <c r="M203" s="238"/>
      <c r="N203" s="238"/>
      <c r="O203" s="238"/>
      <c r="P203" s="238"/>
      <c r="Q203" s="238"/>
      <c r="R203" s="238"/>
      <c r="S203" s="239"/>
      <c r="T203" s="235">
        <v>0.2</v>
      </c>
      <c r="U203" s="236"/>
      <c r="AD203" s="10">
        <v>55</v>
      </c>
      <c r="AE203" s="10">
        <f t="shared" si="17"/>
        <v>1.0999999999999999E-2</v>
      </c>
    </row>
    <row r="204" spans="1:31"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20"/>
      <c r="U204" s="20"/>
    </row>
    <row r="205" spans="1:31">
      <c r="C205" s="25" t="s">
        <v>189</v>
      </c>
      <c r="D205" s="74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20"/>
      <c r="U205" s="20">
        <v>20</v>
      </c>
      <c r="AD205" s="10">
        <v>140</v>
      </c>
      <c r="AE205" s="75">
        <f>U205*AD205/1000</f>
        <v>2.8</v>
      </c>
    </row>
    <row r="207" spans="1:31">
      <c r="C207" s="106" t="s">
        <v>76</v>
      </c>
      <c r="D207" s="107">
        <v>30</v>
      </c>
      <c r="E207" s="345" t="s">
        <v>77</v>
      </c>
      <c r="F207" s="345"/>
      <c r="G207" s="345"/>
      <c r="H207" s="345"/>
      <c r="I207" s="345"/>
      <c r="J207" s="345"/>
      <c r="K207" s="345"/>
      <c r="L207" s="345"/>
      <c r="M207" s="345"/>
      <c r="N207" s="345"/>
      <c r="O207" s="345"/>
      <c r="P207" s="345"/>
      <c r="Q207" s="345"/>
      <c r="R207" s="345"/>
      <c r="S207" s="345"/>
      <c r="T207" s="346">
        <v>32.4</v>
      </c>
      <c r="U207" s="346"/>
      <c r="V207" s="107"/>
      <c r="W207" s="107"/>
      <c r="X207" s="107"/>
      <c r="Y207" s="107"/>
      <c r="Z207" s="107"/>
      <c r="AA207" s="107"/>
      <c r="AB207" s="107"/>
      <c r="AC207" s="107"/>
      <c r="AD207" s="108">
        <v>160</v>
      </c>
      <c r="AE207" s="108">
        <f>T207*AD207/1000</f>
        <v>5.1840000000000002</v>
      </c>
    </row>
    <row r="209" spans="3:31" s="1" customFormat="1">
      <c r="C209" s="13" t="s">
        <v>101</v>
      </c>
      <c r="D209" s="1">
        <v>100</v>
      </c>
      <c r="T209" s="182" t="s">
        <v>11</v>
      </c>
      <c r="U209" s="182"/>
      <c r="V209" s="182" t="s">
        <v>12</v>
      </c>
      <c r="W209" s="182"/>
      <c r="AD209" s="10"/>
      <c r="AE209" s="37">
        <f>SUM(AE210:AE220)</f>
        <v>87.543700000000001</v>
      </c>
    </row>
    <row r="210" spans="3:31" s="1" customFormat="1">
      <c r="C210" s="13"/>
      <c r="E210" s="256" t="s">
        <v>63</v>
      </c>
      <c r="F210" s="256"/>
      <c r="G210" s="256"/>
      <c r="H210" s="256"/>
      <c r="I210" s="256"/>
      <c r="J210" s="256"/>
      <c r="K210" s="256"/>
      <c r="L210" s="256"/>
      <c r="M210" s="256"/>
      <c r="N210" s="256"/>
      <c r="O210" s="256"/>
      <c r="P210" s="256"/>
      <c r="Q210" s="256"/>
      <c r="R210" s="256"/>
      <c r="S210" s="256"/>
      <c r="T210" s="257">
        <v>155</v>
      </c>
      <c r="U210" s="257"/>
      <c r="V210" s="257">
        <v>115</v>
      </c>
      <c r="W210" s="257"/>
      <c r="AD210" s="10">
        <v>548</v>
      </c>
      <c r="AE210" s="10">
        <f>T210*AD210/1000</f>
        <v>84.94</v>
      </c>
    </row>
    <row r="211" spans="3:31" s="1" customFormat="1">
      <c r="C211" s="13"/>
      <c r="E211" s="237" t="s">
        <v>66</v>
      </c>
      <c r="F211" s="238"/>
      <c r="G211" s="238"/>
      <c r="H211" s="238"/>
      <c r="I211" s="238"/>
      <c r="J211" s="238"/>
      <c r="K211" s="238"/>
      <c r="L211" s="238"/>
      <c r="M211" s="238"/>
      <c r="N211" s="238"/>
      <c r="O211" s="238"/>
      <c r="P211" s="238"/>
      <c r="Q211" s="238"/>
      <c r="R211" s="238"/>
      <c r="S211" s="239"/>
      <c r="T211" s="233">
        <v>12</v>
      </c>
      <c r="U211" s="234"/>
      <c r="V211" s="233">
        <v>10</v>
      </c>
      <c r="W211" s="234"/>
      <c r="AD211" s="10">
        <v>20</v>
      </c>
      <c r="AE211" s="10">
        <f t="shared" ref="AE211:AE220" si="18">T211*AD211/1000</f>
        <v>0.24</v>
      </c>
    </row>
    <row r="212" spans="3:31" s="1" customFormat="1">
      <c r="C212" s="13"/>
      <c r="E212" s="237" t="s">
        <v>17</v>
      </c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9"/>
      <c r="T212" s="233">
        <v>10</v>
      </c>
      <c r="U212" s="234"/>
      <c r="V212" s="233">
        <v>10</v>
      </c>
      <c r="W212" s="234"/>
      <c r="AD212" s="10">
        <v>0</v>
      </c>
      <c r="AE212" s="10">
        <f t="shared" si="18"/>
        <v>0</v>
      </c>
    </row>
    <row r="213" spans="3:31" s="1" customFormat="1">
      <c r="C213" s="13"/>
      <c r="E213" s="237" t="s">
        <v>102</v>
      </c>
      <c r="F213" s="238"/>
      <c r="G213" s="238"/>
      <c r="H213" s="238"/>
      <c r="I213" s="238"/>
      <c r="J213" s="238"/>
      <c r="K213" s="238"/>
      <c r="L213" s="238"/>
      <c r="M213" s="238"/>
      <c r="N213" s="238"/>
      <c r="O213" s="238"/>
      <c r="P213" s="238"/>
      <c r="Q213" s="238"/>
      <c r="R213" s="238"/>
      <c r="S213" s="239"/>
      <c r="T213" s="233">
        <v>8</v>
      </c>
      <c r="U213" s="234"/>
      <c r="V213" s="233">
        <v>8</v>
      </c>
      <c r="W213" s="234"/>
      <c r="AD213" s="10">
        <v>140</v>
      </c>
      <c r="AE213" s="10">
        <f t="shared" si="18"/>
        <v>1.1200000000000001</v>
      </c>
    </row>
    <row r="214" spans="3:31" s="1" customFormat="1">
      <c r="C214" s="13"/>
      <c r="E214" s="237" t="s">
        <v>19</v>
      </c>
      <c r="F214" s="238"/>
      <c r="G214" s="238"/>
      <c r="H214" s="238"/>
      <c r="I214" s="238"/>
      <c r="J214" s="238"/>
      <c r="K214" s="238"/>
      <c r="L214" s="238"/>
      <c r="M214" s="238"/>
      <c r="N214" s="238"/>
      <c r="O214" s="238"/>
      <c r="P214" s="238"/>
      <c r="Q214" s="238"/>
      <c r="R214" s="238"/>
      <c r="S214" s="239"/>
      <c r="T214" s="235">
        <v>0.7</v>
      </c>
      <c r="U214" s="236"/>
      <c r="V214" s="233">
        <v>0.7</v>
      </c>
      <c r="W214" s="234"/>
      <c r="AD214" s="10">
        <v>17</v>
      </c>
      <c r="AE214" s="10">
        <f t="shared" si="18"/>
        <v>1.1899999999999999E-2</v>
      </c>
    </row>
    <row r="215" spans="3:31" s="1" customFormat="1">
      <c r="C215" s="13"/>
      <c r="E215" s="297" t="s">
        <v>103</v>
      </c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9"/>
      <c r="T215" s="233"/>
      <c r="U215" s="234"/>
      <c r="V215" s="233"/>
      <c r="W215" s="234"/>
      <c r="AD215" s="10"/>
      <c r="AE215" s="10">
        <f t="shared" si="18"/>
        <v>0</v>
      </c>
    </row>
    <row r="216" spans="3:31" s="1" customFormat="1">
      <c r="C216" s="13"/>
      <c r="E216" s="237" t="s">
        <v>16</v>
      </c>
      <c r="F216" s="238"/>
      <c r="G216" s="238"/>
      <c r="H216" s="238"/>
      <c r="I216" s="238"/>
      <c r="J216" s="238"/>
      <c r="K216" s="238"/>
      <c r="L216" s="238"/>
      <c r="M216" s="238"/>
      <c r="N216" s="238"/>
      <c r="O216" s="238"/>
      <c r="P216" s="238"/>
      <c r="Q216" s="238"/>
      <c r="R216" s="238"/>
      <c r="S216" s="239"/>
      <c r="T216" s="233">
        <v>10</v>
      </c>
      <c r="U216" s="234"/>
      <c r="V216" s="233">
        <v>10</v>
      </c>
      <c r="W216" s="234"/>
      <c r="AD216" s="10">
        <v>48.17</v>
      </c>
      <c r="AE216" s="10">
        <f t="shared" si="18"/>
        <v>0.48170000000000007</v>
      </c>
    </row>
    <row r="217" spans="3:31" s="1" customFormat="1">
      <c r="C217" s="13"/>
      <c r="E217" s="237" t="s">
        <v>104</v>
      </c>
      <c r="F217" s="238"/>
      <c r="G217" s="238"/>
      <c r="H217" s="238"/>
      <c r="I217" s="238"/>
      <c r="J217" s="238"/>
      <c r="K217" s="238"/>
      <c r="L217" s="238"/>
      <c r="M217" s="238"/>
      <c r="N217" s="238"/>
      <c r="O217" s="238"/>
      <c r="P217" s="238"/>
      <c r="Q217" s="238"/>
      <c r="R217" s="238"/>
      <c r="S217" s="239"/>
      <c r="T217" s="233">
        <v>5</v>
      </c>
      <c r="U217" s="234"/>
      <c r="V217" s="233">
        <v>5</v>
      </c>
      <c r="W217" s="234"/>
      <c r="AD217" s="10">
        <v>37</v>
      </c>
      <c r="AE217" s="10">
        <f t="shared" si="18"/>
        <v>0.185</v>
      </c>
    </row>
    <row r="218" spans="3:31" s="1" customFormat="1">
      <c r="C218" s="13"/>
      <c r="E218" s="237" t="s">
        <v>18</v>
      </c>
      <c r="F218" s="238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  <c r="Q218" s="238"/>
      <c r="R218" s="238"/>
      <c r="S218" s="239"/>
      <c r="T218" s="233">
        <v>1</v>
      </c>
      <c r="U218" s="234"/>
      <c r="V218" s="233">
        <v>1</v>
      </c>
      <c r="W218" s="234"/>
      <c r="AD218" s="10">
        <v>550</v>
      </c>
      <c r="AE218" s="10">
        <f t="shared" si="18"/>
        <v>0.55000000000000004</v>
      </c>
    </row>
    <row r="219" spans="3:31" s="1" customFormat="1">
      <c r="C219" s="13"/>
      <c r="E219" s="237" t="s">
        <v>105</v>
      </c>
      <c r="F219" s="238"/>
      <c r="G219" s="238"/>
      <c r="H219" s="238"/>
      <c r="I219" s="238"/>
      <c r="J219" s="238"/>
      <c r="K219" s="238"/>
      <c r="L219" s="238"/>
      <c r="M219" s="238"/>
      <c r="N219" s="238"/>
      <c r="O219" s="238"/>
      <c r="P219" s="238"/>
      <c r="Q219" s="238"/>
      <c r="R219" s="238"/>
      <c r="S219" s="239"/>
      <c r="T219" s="292">
        <v>0.01</v>
      </c>
      <c r="U219" s="293"/>
      <c r="V219" s="292">
        <v>0.01</v>
      </c>
      <c r="W219" s="293"/>
      <c r="AD219" s="10">
        <v>1000</v>
      </c>
      <c r="AE219" s="10">
        <f t="shared" si="18"/>
        <v>0.01</v>
      </c>
    </row>
    <row r="220" spans="3:31" s="1" customFormat="1">
      <c r="C220" s="13"/>
      <c r="E220" s="256" t="s">
        <v>19</v>
      </c>
      <c r="F220" s="256"/>
      <c r="G220" s="256"/>
      <c r="H220" s="256"/>
      <c r="I220" s="256"/>
      <c r="J220" s="256"/>
      <c r="K220" s="256"/>
      <c r="L220" s="256"/>
      <c r="M220" s="256"/>
      <c r="N220" s="256"/>
      <c r="O220" s="256"/>
      <c r="P220" s="256"/>
      <c r="Q220" s="256"/>
      <c r="R220" s="256"/>
      <c r="S220" s="256"/>
      <c r="T220" s="257">
        <v>0.3</v>
      </c>
      <c r="U220" s="257"/>
      <c r="V220" s="295">
        <v>0.3</v>
      </c>
      <c r="W220" s="296"/>
      <c r="AD220" s="10">
        <v>17</v>
      </c>
      <c r="AE220" s="10">
        <f t="shared" si="18"/>
        <v>5.0999999999999995E-3</v>
      </c>
    </row>
    <row r="221" spans="3:31" s="1" customFormat="1">
      <c r="C221" s="13"/>
      <c r="E221" s="289" t="s">
        <v>21</v>
      </c>
      <c r="F221" s="289"/>
      <c r="G221" s="289"/>
      <c r="H221" s="289"/>
      <c r="I221" s="289"/>
      <c r="J221" s="289"/>
      <c r="K221" s="289"/>
      <c r="L221" s="289"/>
      <c r="M221" s="289"/>
      <c r="N221" s="289"/>
      <c r="O221" s="289"/>
      <c r="P221" s="289"/>
      <c r="Q221" s="289"/>
      <c r="R221" s="289"/>
      <c r="S221" s="289"/>
      <c r="T221" s="290" t="s">
        <v>22</v>
      </c>
      <c r="U221" s="290"/>
      <c r="V221" s="290">
        <v>100</v>
      </c>
      <c r="W221" s="290"/>
      <c r="AD221" s="10"/>
      <c r="AE221" s="10"/>
    </row>
    <row r="223" spans="3:31" s="1" customFormat="1">
      <c r="C223" s="13" t="s">
        <v>106</v>
      </c>
      <c r="D223" s="1">
        <v>180</v>
      </c>
      <c r="T223" s="182" t="s">
        <v>11</v>
      </c>
      <c r="U223" s="182"/>
      <c r="V223" s="182" t="s">
        <v>12</v>
      </c>
      <c r="W223" s="182"/>
      <c r="AD223" s="10"/>
      <c r="AE223" s="37">
        <f>SUM(AE224:AE228)</f>
        <v>4.8351000000000006</v>
      </c>
    </row>
    <row r="224" spans="3:31" s="1" customFormat="1">
      <c r="C224" s="13"/>
      <c r="E224" s="256" t="s">
        <v>38</v>
      </c>
      <c r="F224" s="256"/>
      <c r="G224" s="256"/>
      <c r="H224" s="256"/>
      <c r="I224" s="256"/>
      <c r="J224" s="256"/>
      <c r="K224" s="256"/>
      <c r="L224" s="256"/>
      <c r="M224" s="256"/>
      <c r="N224" s="256"/>
      <c r="O224" s="256"/>
      <c r="P224" s="256"/>
      <c r="Q224" s="256"/>
      <c r="R224" s="256"/>
      <c r="S224" s="256"/>
      <c r="T224" s="257">
        <v>16</v>
      </c>
      <c r="U224" s="257"/>
      <c r="V224" s="257">
        <v>16</v>
      </c>
      <c r="W224" s="257"/>
      <c r="AD224" s="10">
        <v>75</v>
      </c>
      <c r="AE224" s="10">
        <f>T224*AD224/1000</f>
        <v>1.2</v>
      </c>
    </row>
    <row r="225" spans="1:31">
      <c r="E225" s="237" t="s">
        <v>17</v>
      </c>
      <c r="F225" s="238"/>
      <c r="G225" s="238"/>
      <c r="H225" s="238"/>
      <c r="I225" s="238"/>
      <c r="J225" s="238"/>
      <c r="K225" s="238"/>
      <c r="L225" s="238"/>
      <c r="M225" s="238"/>
      <c r="N225" s="238"/>
      <c r="O225" s="238"/>
      <c r="P225" s="238"/>
      <c r="Q225" s="238"/>
      <c r="R225" s="238"/>
      <c r="S225" s="239"/>
      <c r="T225" s="233">
        <v>142</v>
      </c>
      <c r="U225" s="234"/>
      <c r="V225" s="233">
        <v>142</v>
      </c>
      <c r="W225" s="234"/>
      <c r="AD225" s="10">
        <v>0</v>
      </c>
      <c r="AE225" s="10">
        <f t="shared" ref="AE225:AE228" si="19">T225*AD225/1000</f>
        <v>0</v>
      </c>
    </row>
    <row r="226" spans="1:31">
      <c r="E226" s="256" t="s">
        <v>51</v>
      </c>
      <c r="F226" s="256"/>
      <c r="G226" s="256"/>
      <c r="H226" s="256"/>
      <c r="I226" s="256"/>
      <c r="J226" s="256"/>
      <c r="K226" s="256"/>
      <c r="L226" s="256"/>
      <c r="M226" s="256"/>
      <c r="N226" s="256"/>
      <c r="O226" s="256"/>
      <c r="P226" s="256"/>
      <c r="Q226" s="256"/>
      <c r="R226" s="256"/>
      <c r="S226" s="256"/>
      <c r="T226" s="257">
        <v>20</v>
      </c>
      <c r="U226" s="257"/>
      <c r="V226" s="257">
        <v>20</v>
      </c>
      <c r="W226" s="257"/>
      <c r="AD226" s="10">
        <v>44</v>
      </c>
      <c r="AE226" s="10">
        <f t="shared" si="19"/>
        <v>0.88</v>
      </c>
    </row>
    <row r="227" spans="1:31">
      <c r="E227" s="256" t="s">
        <v>19</v>
      </c>
      <c r="F227" s="256"/>
      <c r="G227" s="256"/>
      <c r="H227" s="256"/>
      <c r="I227" s="256"/>
      <c r="J227" s="256"/>
      <c r="K227" s="256"/>
      <c r="L227" s="256"/>
      <c r="M227" s="256"/>
      <c r="N227" s="256"/>
      <c r="O227" s="256"/>
      <c r="P227" s="256"/>
      <c r="Q227" s="256"/>
      <c r="R227" s="256"/>
      <c r="S227" s="256"/>
      <c r="T227" s="257">
        <v>0.3</v>
      </c>
      <c r="U227" s="257"/>
      <c r="V227" s="257">
        <v>0.3</v>
      </c>
      <c r="W227" s="257"/>
      <c r="AD227" s="10">
        <v>17</v>
      </c>
      <c r="AE227" s="10">
        <f t="shared" si="19"/>
        <v>5.0999999999999995E-3</v>
      </c>
    </row>
    <row r="228" spans="1:31">
      <c r="E228" s="256" t="s">
        <v>18</v>
      </c>
      <c r="F228" s="256"/>
      <c r="G228" s="256"/>
      <c r="H228" s="256"/>
      <c r="I228" s="256"/>
      <c r="J228" s="256"/>
      <c r="K228" s="256"/>
      <c r="L228" s="256"/>
      <c r="M228" s="256"/>
      <c r="N228" s="256"/>
      <c r="O228" s="256"/>
      <c r="P228" s="256"/>
      <c r="Q228" s="256"/>
      <c r="R228" s="256"/>
      <c r="S228" s="256"/>
      <c r="T228" s="257">
        <v>5</v>
      </c>
      <c r="U228" s="257"/>
      <c r="V228" s="257">
        <v>5</v>
      </c>
      <c r="W228" s="257"/>
      <c r="AD228" s="10">
        <v>550</v>
      </c>
      <c r="AE228" s="10">
        <f t="shared" si="19"/>
        <v>2.75</v>
      </c>
    </row>
    <row r="229" spans="1:31">
      <c r="E229" s="289" t="s">
        <v>21</v>
      </c>
      <c r="F229" s="289"/>
      <c r="G229" s="289"/>
      <c r="H229" s="289"/>
      <c r="I229" s="289"/>
      <c r="J229" s="289"/>
      <c r="K229" s="289"/>
      <c r="L229" s="289"/>
      <c r="M229" s="289"/>
      <c r="N229" s="289"/>
      <c r="O229" s="289"/>
      <c r="P229" s="289"/>
      <c r="Q229" s="289"/>
      <c r="R229" s="289"/>
      <c r="S229" s="289"/>
      <c r="T229" s="290" t="s">
        <v>22</v>
      </c>
      <c r="U229" s="290"/>
      <c r="V229" s="291">
        <v>180</v>
      </c>
      <c r="W229" s="291"/>
    </row>
    <row r="231" spans="1:31">
      <c r="C231" s="13" t="s">
        <v>57</v>
      </c>
      <c r="D231" s="1">
        <v>200</v>
      </c>
      <c r="T231" s="182" t="s">
        <v>11</v>
      </c>
      <c r="U231" s="182"/>
      <c r="V231" s="182" t="s">
        <v>12</v>
      </c>
      <c r="W231" s="182"/>
      <c r="AE231" s="37">
        <f>AE232+AE233</f>
        <v>1.125</v>
      </c>
    </row>
    <row r="232" spans="1:31">
      <c r="E232" s="183" t="s">
        <v>58</v>
      </c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4">
        <v>0.6</v>
      </c>
      <c r="U232" s="184"/>
      <c r="V232" s="184">
        <v>0.6</v>
      </c>
      <c r="W232" s="184"/>
      <c r="AD232" s="10">
        <v>500</v>
      </c>
      <c r="AE232" s="10">
        <f>AD232*T232/1000</f>
        <v>0.3</v>
      </c>
    </row>
    <row r="233" spans="1:31">
      <c r="E233" s="185" t="s">
        <v>20</v>
      </c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7"/>
      <c r="T233" s="188">
        <v>15</v>
      </c>
      <c r="U233" s="189"/>
      <c r="V233" s="188">
        <v>15</v>
      </c>
      <c r="W233" s="189"/>
      <c r="AD233" s="10">
        <v>55</v>
      </c>
      <c r="AE233" s="10">
        <f>AD233*T233/1000</f>
        <v>0.82499999999999996</v>
      </c>
    </row>
    <row r="234" spans="1:31">
      <c r="E234" s="190" t="s">
        <v>21</v>
      </c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1" t="s">
        <v>22</v>
      </c>
      <c r="U234" s="191"/>
      <c r="V234" s="192">
        <v>200</v>
      </c>
      <c r="W234" s="192"/>
    </row>
    <row r="236" spans="1:31">
      <c r="C236" s="13" t="s">
        <v>26</v>
      </c>
      <c r="D236" s="1">
        <v>40</v>
      </c>
      <c r="AD236" s="10">
        <v>45.54</v>
      </c>
      <c r="AE236" s="37">
        <f>D236*AD236/1000</f>
        <v>1.8215999999999999</v>
      </c>
    </row>
    <row r="238" spans="1:31">
      <c r="A238" s="13" t="s">
        <v>197</v>
      </c>
      <c r="B238" s="13" t="s">
        <v>1</v>
      </c>
    </row>
    <row r="239" spans="1:31">
      <c r="A239" s="13" t="s">
        <v>201</v>
      </c>
      <c r="B239" s="46">
        <f>AE239+AE241+AE245+AE257+AE259</f>
        <v>72.154931269349859</v>
      </c>
      <c r="C239" s="13" t="s">
        <v>2</v>
      </c>
      <c r="D239" s="1">
        <v>100</v>
      </c>
      <c r="AD239" s="34">
        <v>62.4</v>
      </c>
      <c r="AE239" s="22">
        <f>D239*AD239/1000</f>
        <v>6.24</v>
      </c>
    </row>
    <row r="241" spans="3:31" s="1" customFormat="1">
      <c r="C241" s="13" t="s">
        <v>108</v>
      </c>
      <c r="D241" s="1">
        <v>30</v>
      </c>
      <c r="T241" s="40" t="s">
        <v>11</v>
      </c>
      <c r="U241" s="40" t="s">
        <v>12</v>
      </c>
      <c r="AD241" s="10"/>
      <c r="AE241" s="22">
        <f>AE242</f>
        <v>9.473684210526315</v>
      </c>
    </row>
    <row r="242" spans="3:31" s="1" customFormat="1">
      <c r="C242" s="13"/>
      <c r="E242" s="275" t="s">
        <v>109</v>
      </c>
      <c r="F242" s="276"/>
      <c r="G242" s="276"/>
      <c r="H242" s="276"/>
      <c r="I242" s="277"/>
      <c r="T242" s="87">
        <f>U243</f>
        <v>30</v>
      </c>
      <c r="U242" s="87">
        <f t="shared" ref="U242" si="20">T242</f>
        <v>30</v>
      </c>
      <c r="AD242" s="10">
        <v>120</v>
      </c>
      <c r="AE242" s="10">
        <f>AD242/380*T242</f>
        <v>9.473684210526315</v>
      </c>
    </row>
    <row r="243" spans="3:31" s="1" customFormat="1">
      <c r="C243" s="13"/>
      <c r="E243" s="278" t="s">
        <v>21</v>
      </c>
      <c r="F243" s="279"/>
      <c r="G243" s="279"/>
      <c r="H243" s="279"/>
      <c r="I243" s="280"/>
      <c r="T243" s="88" t="s">
        <v>22</v>
      </c>
      <c r="U243" s="89">
        <v>30</v>
      </c>
      <c r="AD243" s="10"/>
      <c r="AE243" s="10"/>
    </row>
    <row r="245" spans="3:31" s="1" customFormat="1">
      <c r="C245" s="13" t="s">
        <v>110</v>
      </c>
      <c r="D245" s="1">
        <v>200</v>
      </c>
      <c r="T245" s="182" t="s">
        <v>11</v>
      </c>
      <c r="U245" s="182"/>
      <c r="V245" s="182" t="s">
        <v>12</v>
      </c>
      <c r="W245" s="182"/>
      <c r="AD245" s="10"/>
      <c r="AE245" s="22">
        <f>SUM(AE246:AE254)</f>
        <v>45.275647058823544</v>
      </c>
    </row>
    <row r="246" spans="3:31" s="1" customFormat="1">
      <c r="C246" s="13"/>
      <c r="E246" s="256" t="s">
        <v>50</v>
      </c>
      <c r="F246" s="256"/>
      <c r="G246" s="256"/>
      <c r="H246" s="256"/>
      <c r="I246" s="256"/>
      <c r="J246" s="256"/>
      <c r="K246" s="256"/>
      <c r="L246" s="256"/>
      <c r="M246" s="256"/>
      <c r="N246" s="256"/>
      <c r="O246" s="256"/>
      <c r="P246" s="256"/>
      <c r="Q246" s="256"/>
      <c r="R246" s="256"/>
      <c r="S246" s="256"/>
      <c r="T246" s="294">
        <v>157.64705882352942</v>
      </c>
      <c r="U246" s="294"/>
      <c r="V246" s="294">
        <v>157.64705882352942</v>
      </c>
      <c r="W246" s="294"/>
      <c r="AD246" s="10">
        <v>239.45</v>
      </c>
      <c r="AE246" s="10">
        <f>AD246*T246/1000</f>
        <v>37.748588235294122</v>
      </c>
    </row>
    <row r="247" spans="3:31" s="1" customFormat="1">
      <c r="C247" s="13"/>
      <c r="E247" s="237" t="s">
        <v>38</v>
      </c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9"/>
      <c r="T247" s="292">
        <v>21.176470588235293</v>
      </c>
      <c r="U247" s="293"/>
      <c r="V247" s="294">
        <v>21.176470588235293</v>
      </c>
      <c r="W247" s="294"/>
      <c r="AD247" s="10">
        <v>75</v>
      </c>
      <c r="AE247" s="10">
        <f t="shared" ref="AE247:AE254" si="21">AD247*T247/1000</f>
        <v>1.588235294117647</v>
      </c>
    </row>
    <row r="248" spans="3:31" s="1" customFormat="1">
      <c r="C248" s="13"/>
      <c r="E248" s="237" t="s">
        <v>16</v>
      </c>
      <c r="F248" s="238"/>
      <c r="G248" s="238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9"/>
      <c r="T248" s="292">
        <v>47.058823529411768</v>
      </c>
      <c r="U248" s="293"/>
      <c r="V248" s="294">
        <v>47.058823529411768</v>
      </c>
      <c r="W248" s="294"/>
      <c r="AD248" s="10">
        <v>48.17</v>
      </c>
      <c r="AE248" s="10">
        <f t="shared" si="21"/>
        <v>2.2668235294117647</v>
      </c>
    </row>
    <row r="249" spans="3:31" s="1" customFormat="1">
      <c r="C249" s="13"/>
      <c r="E249" s="237" t="s">
        <v>53</v>
      </c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9"/>
      <c r="T249" s="292">
        <v>2.3529411764705882E-2</v>
      </c>
      <c r="U249" s="293"/>
      <c r="V249" s="294">
        <v>2.3529411764705882E-2</v>
      </c>
      <c r="W249" s="294"/>
      <c r="AD249" s="10">
        <v>1200</v>
      </c>
      <c r="AE249" s="10">
        <f t="shared" si="21"/>
        <v>2.8235294117647056E-2</v>
      </c>
    </row>
    <row r="250" spans="3:31" s="1" customFormat="1">
      <c r="C250" s="13"/>
      <c r="E250" s="237" t="s">
        <v>52</v>
      </c>
      <c r="F250" s="238"/>
      <c r="G250" s="238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9"/>
      <c r="T250" s="292">
        <v>10.588235294117647</v>
      </c>
      <c r="U250" s="293"/>
      <c r="V250" s="294">
        <v>10.588235294117647</v>
      </c>
      <c r="W250" s="294"/>
      <c r="AD250" s="10">
        <v>140</v>
      </c>
      <c r="AE250" s="10">
        <f t="shared" si="21"/>
        <v>1.4823529411764704</v>
      </c>
    </row>
    <row r="251" spans="3:31" s="1" customFormat="1">
      <c r="C251" s="13"/>
      <c r="E251" s="237" t="s">
        <v>20</v>
      </c>
      <c r="F251" s="238"/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9"/>
      <c r="T251" s="292">
        <v>3.5294117647058822</v>
      </c>
      <c r="U251" s="293"/>
      <c r="V251" s="294">
        <v>3.5294117647058822</v>
      </c>
      <c r="W251" s="294"/>
      <c r="AD251" s="10">
        <v>55</v>
      </c>
      <c r="AE251" s="10">
        <f t="shared" si="21"/>
        <v>0.19411764705882353</v>
      </c>
    </row>
    <row r="252" spans="3:31" s="1" customFormat="1">
      <c r="C252" s="13"/>
      <c r="E252" s="237" t="s">
        <v>55</v>
      </c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9"/>
      <c r="T252" s="292">
        <v>1.7647058823529411</v>
      </c>
      <c r="U252" s="293"/>
      <c r="V252" s="294">
        <v>1.7647058823529411</v>
      </c>
      <c r="W252" s="294"/>
      <c r="AD252" s="10">
        <v>150</v>
      </c>
      <c r="AE252" s="10">
        <f t="shared" si="21"/>
        <v>0.26470588235294118</v>
      </c>
    </row>
    <row r="253" spans="3:31" s="1" customFormat="1">
      <c r="C253" s="13"/>
      <c r="E253" s="237" t="s">
        <v>54</v>
      </c>
      <c r="F253" s="238"/>
      <c r="G253" s="238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9"/>
      <c r="T253" s="292">
        <v>2.3529411764705883</v>
      </c>
      <c r="U253" s="293"/>
      <c r="V253" s="294">
        <v>2.3529411764705883</v>
      </c>
      <c r="W253" s="294"/>
      <c r="AD253" s="10">
        <v>173.6</v>
      </c>
      <c r="AE253" s="10">
        <f t="shared" si="21"/>
        <v>0.40847058823529414</v>
      </c>
    </row>
    <row r="254" spans="3:31" s="1" customFormat="1">
      <c r="C254" s="13"/>
      <c r="E254" s="237" t="s">
        <v>18</v>
      </c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9"/>
      <c r="T254" s="292">
        <v>2.3529411764705883</v>
      </c>
      <c r="U254" s="293"/>
      <c r="V254" s="294">
        <v>2.3529411764705883</v>
      </c>
      <c r="W254" s="294"/>
      <c r="AD254" s="10">
        <v>550</v>
      </c>
      <c r="AE254" s="10">
        <f t="shared" si="21"/>
        <v>1.2941176470588236</v>
      </c>
    </row>
    <row r="255" spans="3:31" s="1" customFormat="1">
      <c r="C255" s="13"/>
      <c r="E255" s="289" t="s">
        <v>21</v>
      </c>
      <c r="F255" s="289"/>
      <c r="G255" s="289"/>
      <c r="H255" s="289"/>
      <c r="I255" s="289"/>
      <c r="J255" s="289"/>
      <c r="K255" s="289"/>
      <c r="L255" s="289"/>
      <c r="M255" s="289"/>
      <c r="N255" s="289"/>
      <c r="O255" s="289"/>
      <c r="P255" s="289"/>
      <c r="Q255" s="289"/>
      <c r="R255" s="289"/>
      <c r="S255" s="289"/>
      <c r="T255" s="290" t="s">
        <v>22</v>
      </c>
      <c r="U255" s="290"/>
      <c r="V255" s="291">
        <v>200</v>
      </c>
      <c r="W255" s="291"/>
      <c r="AD255" s="10"/>
      <c r="AE255" s="10"/>
    </row>
    <row r="257" spans="1:31">
      <c r="C257" s="13" t="s">
        <v>92</v>
      </c>
      <c r="D257" s="1">
        <v>200</v>
      </c>
      <c r="E257" s="183" t="s">
        <v>93</v>
      </c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281">
        <v>200</v>
      </c>
      <c r="U257" s="281"/>
      <c r="V257" s="281">
        <v>200</v>
      </c>
      <c r="W257" s="281"/>
      <c r="AD257" s="10">
        <v>45</v>
      </c>
      <c r="AE257" s="22">
        <f>T257*AD257/1000</f>
        <v>9</v>
      </c>
    </row>
    <row r="259" spans="1:31">
      <c r="C259" s="13" t="s">
        <v>59</v>
      </c>
      <c r="D259" s="1">
        <v>40</v>
      </c>
      <c r="AD259" s="10">
        <v>54.14</v>
      </c>
      <c r="AE259" s="22">
        <f>D259*AD259/1000</f>
        <v>2.1656</v>
      </c>
    </row>
    <row r="261" spans="1:31">
      <c r="A261" s="13" t="s">
        <v>198</v>
      </c>
      <c r="B261" s="13" t="s">
        <v>1</v>
      </c>
      <c r="C261" s="76" t="s">
        <v>193</v>
      </c>
      <c r="D261" s="30">
        <v>30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195" t="s">
        <v>11</v>
      </c>
      <c r="U261" s="195"/>
      <c r="V261" s="195" t="s">
        <v>12</v>
      </c>
      <c r="W261" s="195"/>
      <c r="X261" s="30"/>
      <c r="Y261" s="30"/>
      <c r="Z261" s="30"/>
      <c r="AA261" s="30"/>
      <c r="AB261" s="30"/>
      <c r="AC261" s="30"/>
      <c r="AD261" s="31"/>
      <c r="AE261" s="80">
        <f>SUM(AE262:AE266)</f>
        <v>4.8339416058394162</v>
      </c>
    </row>
    <row r="262" spans="1:31">
      <c r="A262" s="13" t="s">
        <v>202</v>
      </c>
      <c r="B262" s="45">
        <f>AE261+AE271+AE288+AE294+AE296+AE303</f>
        <v>65.984141605839426</v>
      </c>
      <c r="C262" s="76"/>
      <c r="D262" s="30"/>
      <c r="E262" s="196" t="s">
        <v>194</v>
      </c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7">
        <v>30</v>
      </c>
      <c r="U262" s="197"/>
      <c r="V262" s="197">
        <f>30*V267/30</f>
        <v>0</v>
      </c>
      <c r="W262" s="197"/>
      <c r="X262" s="30"/>
      <c r="Y262" s="30"/>
      <c r="Z262" s="30"/>
      <c r="AA262" s="30"/>
      <c r="AB262" s="30"/>
      <c r="AC262" s="30"/>
      <c r="AD262" s="31">
        <v>88.3</v>
      </c>
      <c r="AE262" s="31">
        <f>AD262/548*T262</f>
        <v>4.8339416058394162</v>
      </c>
    </row>
    <row r="263" spans="1:31">
      <c r="C263" s="76"/>
      <c r="D263" s="30"/>
      <c r="E263" s="253"/>
      <c r="F263" s="254"/>
      <c r="G263" s="254"/>
      <c r="H263" s="254"/>
      <c r="I263" s="254"/>
      <c r="J263" s="254"/>
      <c r="K263" s="254"/>
      <c r="L263" s="254"/>
      <c r="M263" s="254"/>
      <c r="N263" s="254"/>
      <c r="O263" s="254"/>
      <c r="P263" s="254"/>
      <c r="Q263" s="254"/>
      <c r="R263" s="254"/>
      <c r="S263" s="255"/>
      <c r="T263" s="251"/>
      <c r="U263" s="252"/>
      <c r="V263" s="251"/>
      <c r="W263" s="252"/>
      <c r="X263" s="30"/>
      <c r="Y263" s="30"/>
      <c r="Z263" s="30"/>
      <c r="AA263" s="30"/>
      <c r="AB263" s="30"/>
      <c r="AC263" s="30"/>
      <c r="AD263" s="31"/>
      <c r="AE263" s="31">
        <f t="shared" ref="AE263:AE266" si="22">T263*AD263/1000</f>
        <v>0</v>
      </c>
    </row>
    <row r="264" spans="1:31">
      <c r="C264" s="76"/>
      <c r="D264" s="30"/>
      <c r="E264" s="253"/>
      <c r="F264" s="254"/>
      <c r="G264" s="254"/>
      <c r="H264" s="254"/>
      <c r="I264" s="254"/>
      <c r="J264" s="254"/>
      <c r="K264" s="254"/>
      <c r="L264" s="254"/>
      <c r="M264" s="254"/>
      <c r="N264" s="254"/>
      <c r="O264" s="254"/>
      <c r="P264" s="254"/>
      <c r="Q264" s="254"/>
      <c r="R264" s="254"/>
      <c r="S264" s="255"/>
      <c r="T264" s="251"/>
      <c r="U264" s="252"/>
      <c r="V264" s="251"/>
      <c r="W264" s="252"/>
      <c r="X264" s="30"/>
      <c r="Y264" s="30"/>
      <c r="Z264" s="30"/>
      <c r="AA264" s="30"/>
      <c r="AB264" s="30"/>
      <c r="AC264" s="30"/>
      <c r="AD264" s="31"/>
      <c r="AE264" s="31">
        <f t="shared" si="22"/>
        <v>0</v>
      </c>
    </row>
    <row r="265" spans="1:31">
      <c r="C265" s="76"/>
      <c r="D265" s="30"/>
      <c r="E265" s="253"/>
      <c r="F265" s="254"/>
      <c r="G265" s="254"/>
      <c r="H265" s="254"/>
      <c r="I265" s="254"/>
      <c r="J265" s="254"/>
      <c r="K265" s="254"/>
      <c r="L265" s="254"/>
      <c r="M265" s="254"/>
      <c r="N265" s="254"/>
      <c r="O265" s="254"/>
      <c r="P265" s="254"/>
      <c r="Q265" s="254"/>
      <c r="R265" s="254"/>
      <c r="S265" s="255"/>
      <c r="T265" s="251"/>
      <c r="U265" s="252"/>
      <c r="V265" s="251"/>
      <c r="W265" s="252"/>
      <c r="X265" s="30"/>
      <c r="Y265" s="30"/>
      <c r="Z265" s="30"/>
      <c r="AA265" s="30"/>
      <c r="AB265" s="30"/>
      <c r="AC265" s="30"/>
      <c r="AD265" s="31"/>
      <c r="AE265" s="31">
        <f t="shared" si="22"/>
        <v>0</v>
      </c>
    </row>
    <row r="266" spans="1:31">
      <c r="C266" s="76"/>
      <c r="D266" s="30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7"/>
      <c r="U266" s="197"/>
      <c r="V266" s="197"/>
      <c r="W266" s="197"/>
      <c r="X266" s="30"/>
      <c r="Y266" s="30"/>
      <c r="Z266" s="30"/>
      <c r="AA266" s="30"/>
      <c r="AB266" s="30"/>
      <c r="AC266" s="30"/>
      <c r="AD266" s="31"/>
      <c r="AE266" s="31">
        <f t="shared" si="22"/>
        <v>0</v>
      </c>
    </row>
    <row r="267" spans="1:31">
      <c r="C267" s="76"/>
      <c r="D267" s="30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8"/>
      <c r="P267" s="198"/>
      <c r="Q267" s="198"/>
      <c r="R267" s="198"/>
      <c r="S267" s="198"/>
      <c r="T267" s="199"/>
      <c r="U267" s="199"/>
      <c r="V267" s="200"/>
      <c r="W267" s="200"/>
      <c r="X267" s="30"/>
      <c r="Y267" s="30"/>
      <c r="Z267" s="30"/>
      <c r="AA267" s="30"/>
      <c r="AB267" s="30"/>
      <c r="AC267" s="30"/>
      <c r="AD267" s="31"/>
      <c r="AE267" s="31"/>
    </row>
    <row r="269" spans="1:31">
      <c r="C269" s="103" t="s">
        <v>30</v>
      </c>
      <c r="D269" s="104">
        <v>40</v>
      </c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>
        <v>42</v>
      </c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5">
        <v>150</v>
      </c>
      <c r="AE269" s="105">
        <f>AD269*T269/1000</f>
        <v>6.3</v>
      </c>
    </row>
    <row r="271" spans="1:31">
      <c r="C271" s="13" t="s">
        <v>115</v>
      </c>
      <c r="D271" s="1" t="s">
        <v>116</v>
      </c>
      <c r="T271" s="182" t="s">
        <v>11</v>
      </c>
      <c r="U271" s="182"/>
      <c r="V271" s="182" t="s">
        <v>12</v>
      </c>
      <c r="W271" s="182"/>
      <c r="AE271" s="39">
        <f>SUM(AE272:AE285)</f>
        <v>46.551500000000004</v>
      </c>
    </row>
    <row r="272" spans="1:31">
      <c r="E272" s="183" t="s">
        <v>34</v>
      </c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4">
        <v>79</v>
      </c>
      <c r="U272" s="184"/>
      <c r="V272" s="184">
        <v>57</v>
      </c>
      <c r="W272" s="184"/>
      <c r="AD272" s="10">
        <v>548</v>
      </c>
      <c r="AE272" s="10">
        <f>T272*AD272/1000</f>
        <v>43.292000000000002</v>
      </c>
    </row>
    <row r="273" spans="3:31" s="1" customFormat="1">
      <c r="C273" s="13"/>
      <c r="E273" s="185" t="s">
        <v>117</v>
      </c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7"/>
      <c r="T273" s="188">
        <v>8</v>
      </c>
      <c r="U273" s="189"/>
      <c r="V273" s="188">
        <v>8</v>
      </c>
      <c r="W273" s="189"/>
      <c r="AD273" s="10">
        <v>0</v>
      </c>
      <c r="AE273" s="10">
        <f t="shared" ref="AE273:AE285" si="23">T273*AD273/1000</f>
        <v>0</v>
      </c>
    </row>
    <row r="274" spans="3:31" s="1" customFormat="1">
      <c r="C274" s="13"/>
      <c r="E274" s="185" t="s">
        <v>38</v>
      </c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7"/>
      <c r="T274" s="188">
        <v>7</v>
      </c>
      <c r="U274" s="189"/>
      <c r="V274" s="188">
        <v>9</v>
      </c>
      <c r="W274" s="189"/>
      <c r="AD274" s="10">
        <v>75</v>
      </c>
      <c r="AE274" s="10">
        <f t="shared" si="23"/>
        <v>0.52500000000000002</v>
      </c>
    </row>
    <row r="275" spans="3:31" s="1" customFormat="1">
      <c r="C275" s="13"/>
      <c r="E275" s="185" t="s">
        <v>66</v>
      </c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7"/>
      <c r="T275" s="188">
        <v>28</v>
      </c>
      <c r="U275" s="189"/>
      <c r="V275" s="188">
        <v>29</v>
      </c>
      <c r="W275" s="189"/>
      <c r="AD275" s="10">
        <v>20</v>
      </c>
      <c r="AE275" s="10">
        <f t="shared" si="23"/>
        <v>0.56000000000000005</v>
      </c>
    </row>
    <row r="276" spans="3:31" s="1" customFormat="1">
      <c r="C276" s="13"/>
      <c r="E276" s="185" t="s">
        <v>32</v>
      </c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7"/>
      <c r="T276" s="285">
        <v>4</v>
      </c>
      <c r="U276" s="286"/>
      <c r="V276" s="188">
        <v>5</v>
      </c>
      <c r="W276" s="189"/>
      <c r="AD276" s="10">
        <v>140</v>
      </c>
      <c r="AE276" s="10">
        <f t="shared" si="23"/>
        <v>0.56000000000000005</v>
      </c>
    </row>
    <row r="277" spans="3:31" s="1" customFormat="1">
      <c r="C277" s="13"/>
      <c r="E277" s="185" t="s">
        <v>104</v>
      </c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7"/>
      <c r="T277" s="188">
        <v>5</v>
      </c>
      <c r="U277" s="189"/>
      <c r="V277" s="188">
        <v>6</v>
      </c>
      <c r="W277" s="189"/>
      <c r="AD277" s="10">
        <v>37</v>
      </c>
      <c r="AE277" s="10">
        <f t="shared" si="23"/>
        <v>0.185</v>
      </c>
    </row>
    <row r="278" spans="3:31" s="1" customFormat="1">
      <c r="C278" s="13"/>
      <c r="E278" s="272" t="s">
        <v>118</v>
      </c>
      <c r="F278" s="273"/>
      <c r="G278" s="273"/>
      <c r="H278" s="273"/>
      <c r="I278" s="273"/>
      <c r="J278" s="273"/>
      <c r="K278" s="273"/>
      <c r="L278" s="273"/>
      <c r="M278" s="273"/>
      <c r="N278" s="273"/>
      <c r="O278" s="273"/>
      <c r="P278" s="273"/>
      <c r="Q278" s="273"/>
      <c r="R278" s="273"/>
      <c r="S278" s="274"/>
      <c r="T278" s="188"/>
      <c r="U278" s="189"/>
      <c r="V278" s="188"/>
      <c r="W278" s="189"/>
      <c r="AD278" s="10"/>
      <c r="AE278" s="10">
        <f t="shared" si="23"/>
        <v>0</v>
      </c>
    </row>
    <row r="279" spans="3:31" s="1" customFormat="1">
      <c r="C279" s="13"/>
      <c r="E279" s="185" t="s">
        <v>54</v>
      </c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7"/>
      <c r="T279" s="188">
        <v>4.5</v>
      </c>
      <c r="U279" s="189"/>
      <c r="V279" s="188">
        <v>4.5</v>
      </c>
      <c r="W279" s="189"/>
      <c r="AD279" s="10">
        <v>173.6</v>
      </c>
      <c r="AE279" s="10">
        <f t="shared" si="23"/>
        <v>0.78119999999999989</v>
      </c>
    </row>
    <row r="280" spans="3:31" s="1" customFormat="1">
      <c r="C280" s="13"/>
      <c r="E280" s="185" t="s">
        <v>104</v>
      </c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7"/>
      <c r="T280" s="188">
        <v>1.3</v>
      </c>
      <c r="U280" s="189"/>
      <c r="V280" s="188">
        <v>1.3</v>
      </c>
      <c r="W280" s="189"/>
      <c r="AD280" s="10">
        <v>37</v>
      </c>
      <c r="AE280" s="10">
        <f t="shared" si="23"/>
        <v>4.8100000000000004E-2</v>
      </c>
    </row>
    <row r="281" spans="3:31" s="1" customFormat="1">
      <c r="C281" s="13"/>
      <c r="E281" s="185" t="s">
        <v>17</v>
      </c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7"/>
      <c r="T281" s="188">
        <v>13.5</v>
      </c>
      <c r="U281" s="189"/>
      <c r="V281" s="188">
        <v>13.5</v>
      </c>
      <c r="W281" s="189"/>
      <c r="AD281" s="10">
        <v>0</v>
      </c>
      <c r="AE281" s="10">
        <f t="shared" si="23"/>
        <v>0</v>
      </c>
    </row>
    <row r="282" spans="3:31" s="1" customFormat="1">
      <c r="C282" s="13"/>
      <c r="E282" s="185" t="s">
        <v>66</v>
      </c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7"/>
      <c r="T282" s="188">
        <v>5</v>
      </c>
      <c r="U282" s="189"/>
      <c r="V282" s="188">
        <v>4</v>
      </c>
      <c r="W282" s="189"/>
      <c r="AD282" s="10">
        <v>20</v>
      </c>
      <c r="AE282" s="10">
        <f t="shared" si="23"/>
        <v>0.1</v>
      </c>
    </row>
    <row r="283" spans="3:31" s="1" customFormat="1">
      <c r="C283" s="13"/>
      <c r="E283" s="185" t="s">
        <v>18</v>
      </c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7"/>
      <c r="T283" s="188">
        <v>0.4</v>
      </c>
      <c r="U283" s="189"/>
      <c r="V283" s="188">
        <v>0.4</v>
      </c>
      <c r="W283" s="189"/>
      <c r="AD283" s="10">
        <v>550</v>
      </c>
      <c r="AE283" s="10">
        <f t="shared" si="23"/>
        <v>0.22</v>
      </c>
    </row>
    <row r="284" spans="3:31" s="1" customFormat="1">
      <c r="C284" s="13"/>
      <c r="E284" s="183" t="s">
        <v>19</v>
      </c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4">
        <v>0.6</v>
      </c>
      <c r="U284" s="184"/>
      <c r="V284" s="184">
        <v>0.6</v>
      </c>
      <c r="W284" s="184"/>
      <c r="AD284" s="10">
        <v>17</v>
      </c>
      <c r="AE284" s="10">
        <f t="shared" si="23"/>
        <v>1.0199999999999999E-2</v>
      </c>
    </row>
    <row r="285" spans="3:31" s="1" customFormat="1">
      <c r="C285" s="13"/>
      <c r="E285" s="282" t="s">
        <v>119</v>
      </c>
      <c r="F285" s="283"/>
      <c r="G285" s="283"/>
      <c r="H285" s="283"/>
      <c r="I285" s="283"/>
      <c r="J285" s="283"/>
      <c r="K285" s="283"/>
      <c r="L285" s="283"/>
      <c r="M285" s="283"/>
      <c r="N285" s="283"/>
      <c r="O285" s="283"/>
      <c r="P285" s="283"/>
      <c r="Q285" s="283"/>
      <c r="R285" s="283"/>
      <c r="S285" s="284"/>
      <c r="T285" s="287">
        <v>2</v>
      </c>
      <c r="U285" s="288"/>
      <c r="V285" s="287">
        <v>2</v>
      </c>
      <c r="W285" s="288"/>
      <c r="AD285" s="10">
        <v>135</v>
      </c>
      <c r="AE285" s="10">
        <f t="shared" si="23"/>
        <v>0.27</v>
      </c>
    </row>
    <row r="286" spans="3:31" s="1" customFormat="1">
      <c r="C286" s="13"/>
      <c r="E286" s="190" t="s">
        <v>21</v>
      </c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1" t="s">
        <v>22</v>
      </c>
      <c r="U286" s="191"/>
      <c r="V286" s="191" t="s">
        <v>116</v>
      </c>
      <c r="W286" s="191"/>
      <c r="AD286" s="10"/>
      <c r="AE286" s="10"/>
    </row>
    <row r="288" spans="3:31" s="1" customFormat="1">
      <c r="C288" s="13" t="s">
        <v>68</v>
      </c>
      <c r="D288" s="1">
        <v>180</v>
      </c>
      <c r="T288" s="182" t="s">
        <v>11</v>
      </c>
      <c r="U288" s="182"/>
      <c r="V288" s="182" t="s">
        <v>12</v>
      </c>
      <c r="W288" s="182"/>
      <c r="AD288" s="10"/>
      <c r="AE288" s="39">
        <f>SUM(AE289:AE291)</f>
        <v>5.6151</v>
      </c>
    </row>
    <row r="289" spans="3:31" s="1" customFormat="1">
      <c r="C289" s="13"/>
      <c r="E289" s="256" t="s">
        <v>69</v>
      </c>
      <c r="F289" s="256"/>
      <c r="G289" s="256"/>
      <c r="H289" s="256"/>
      <c r="I289" s="256"/>
      <c r="J289" s="256"/>
      <c r="K289" s="256"/>
      <c r="L289" s="256"/>
      <c r="M289" s="256"/>
      <c r="N289" s="256"/>
      <c r="O289" s="256"/>
      <c r="P289" s="256"/>
      <c r="Q289" s="256"/>
      <c r="R289" s="256"/>
      <c r="S289" s="256"/>
      <c r="T289" s="257">
        <v>62</v>
      </c>
      <c r="U289" s="257"/>
      <c r="V289" s="257">
        <v>62</v>
      </c>
      <c r="W289" s="257"/>
      <c r="AD289" s="10">
        <v>55</v>
      </c>
      <c r="AE289" s="10">
        <f>T289*AD289/1000</f>
        <v>3.41</v>
      </c>
    </row>
    <row r="290" spans="3:31" s="1" customFormat="1">
      <c r="C290" s="13"/>
      <c r="E290" s="256" t="s">
        <v>19</v>
      </c>
      <c r="F290" s="256"/>
      <c r="G290" s="256"/>
      <c r="H290" s="256"/>
      <c r="I290" s="256"/>
      <c r="J290" s="256"/>
      <c r="K290" s="256"/>
      <c r="L290" s="256"/>
      <c r="M290" s="256"/>
      <c r="N290" s="256"/>
      <c r="O290" s="256"/>
      <c r="P290" s="256"/>
      <c r="Q290" s="256"/>
      <c r="R290" s="256"/>
      <c r="S290" s="256"/>
      <c r="T290" s="257">
        <v>0.3</v>
      </c>
      <c r="U290" s="257"/>
      <c r="V290" s="257">
        <v>0.3</v>
      </c>
      <c r="W290" s="257"/>
      <c r="AD290" s="10">
        <v>17</v>
      </c>
      <c r="AE290" s="10">
        <f t="shared" ref="AE290:AE291" si="24">T290*AD290/1000</f>
        <v>5.0999999999999995E-3</v>
      </c>
    </row>
    <row r="291" spans="3:31" s="1" customFormat="1">
      <c r="C291" s="13"/>
      <c r="E291" s="256" t="s">
        <v>18</v>
      </c>
      <c r="F291" s="256"/>
      <c r="G291" s="256"/>
      <c r="H291" s="256"/>
      <c r="I291" s="256"/>
      <c r="J291" s="256"/>
      <c r="K291" s="256"/>
      <c r="L291" s="256"/>
      <c r="M291" s="256"/>
      <c r="N291" s="256"/>
      <c r="O291" s="256"/>
      <c r="P291" s="256"/>
      <c r="Q291" s="256"/>
      <c r="R291" s="256"/>
      <c r="S291" s="256"/>
      <c r="T291" s="257">
        <v>4</v>
      </c>
      <c r="U291" s="257"/>
      <c r="V291" s="257">
        <v>4</v>
      </c>
      <c r="W291" s="257"/>
      <c r="AD291" s="10">
        <v>550</v>
      </c>
      <c r="AE291" s="10">
        <f t="shared" si="24"/>
        <v>2.2000000000000002</v>
      </c>
    </row>
    <row r="292" spans="3:31" s="1" customFormat="1">
      <c r="C292" s="13"/>
      <c r="E292" s="289" t="s">
        <v>21</v>
      </c>
      <c r="F292" s="289"/>
      <c r="G292" s="289"/>
      <c r="H292" s="289"/>
      <c r="I292" s="289"/>
      <c r="J292" s="289"/>
      <c r="K292" s="289"/>
      <c r="L292" s="289"/>
      <c r="M292" s="289"/>
      <c r="N292" s="289"/>
      <c r="O292" s="289"/>
      <c r="P292" s="289"/>
      <c r="Q292" s="289"/>
      <c r="R292" s="289"/>
      <c r="S292" s="289"/>
      <c r="T292" s="290" t="s">
        <v>22</v>
      </c>
      <c r="U292" s="290"/>
      <c r="V292" s="291">
        <v>180</v>
      </c>
      <c r="W292" s="291"/>
      <c r="AD292" s="10"/>
      <c r="AE292" s="10"/>
    </row>
    <row r="294" spans="3:31" s="1" customFormat="1">
      <c r="C294" s="76" t="s">
        <v>2</v>
      </c>
      <c r="D294" s="30">
        <v>100</v>
      </c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1">
        <v>0</v>
      </c>
      <c r="AE294" s="109">
        <f>AD294*D294/1000</f>
        <v>0</v>
      </c>
    </row>
    <row r="296" spans="3:31" s="1" customFormat="1">
      <c r="C296" s="13" t="s">
        <v>39</v>
      </c>
      <c r="D296" s="1">
        <v>200</v>
      </c>
      <c r="T296" s="182" t="s">
        <v>11</v>
      </c>
      <c r="U296" s="182"/>
      <c r="V296" s="182" t="s">
        <v>12</v>
      </c>
      <c r="W296" s="182"/>
      <c r="AD296" s="10"/>
      <c r="AE296" s="39">
        <f>SUM(AE297:AE300)</f>
        <v>7.1619999999999999</v>
      </c>
    </row>
    <row r="297" spans="3:31" s="1" customFormat="1">
      <c r="C297" s="13"/>
      <c r="E297" s="183" t="s">
        <v>40</v>
      </c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4">
        <v>4</v>
      </c>
      <c r="U297" s="184"/>
      <c r="V297" s="184">
        <v>4</v>
      </c>
      <c r="W297" s="184"/>
      <c r="AD297" s="10">
        <v>380</v>
      </c>
      <c r="AE297" s="10">
        <f>AD297*T297/1000</f>
        <v>1.52</v>
      </c>
    </row>
    <row r="298" spans="3:31" s="1" customFormat="1">
      <c r="C298" s="13"/>
      <c r="E298" s="185" t="s">
        <v>20</v>
      </c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7"/>
      <c r="T298" s="188">
        <v>15</v>
      </c>
      <c r="U298" s="189"/>
      <c r="V298" s="188">
        <v>15</v>
      </c>
      <c r="W298" s="189"/>
      <c r="AD298" s="10">
        <v>55</v>
      </c>
      <c r="AE298" s="10">
        <f t="shared" ref="AE298:AE300" si="25">AD298*T298/1000</f>
        <v>0.82499999999999996</v>
      </c>
    </row>
    <row r="299" spans="3:31" s="1" customFormat="1">
      <c r="C299" s="13"/>
      <c r="E299" s="185" t="s">
        <v>41</v>
      </c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7"/>
      <c r="T299" s="188">
        <v>100</v>
      </c>
      <c r="U299" s="189"/>
      <c r="V299" s="188">
        <v>100</v>
      </c>
      <c r="W299" s="189"/>
      <c r="AD299" s="10">
        <v>48.17</v>
      </c>
      <c r="AE299" s="10">
        <f t="shared" si="25"/>
        <v>4.8170000000000002</v>
      </c>
    </row>
    <row r="300" spans="3:31" s="1" customFormat="1">
      <c r="C300" s="13"/>
      <c r="E300" s="185" t="s">
        <v>17</v>
      </c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7"/>
      <c r="T300" s="188">
        <v>81</v>
      </c>
      <c r="U300" s="189"/>
      <c r="V300" s="188">
        <v>81</v>
      </c>
      <c r="W300" s="189"/>
      <c r="AD300" s="10">
        <v>0</v>
      </c>
      <c r="AE300" s="10">
        <f t="shared" si="25"/>
        <v>0</v>
      </c>
    </row>
    <row r="301" spans="3:31" s="1" customFormat="1">
      <c r="C301" s="13"/>
      <c r="E301" s="190" t="s">
        <v>21</v>
      </c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1" t="s">
        <v>22</v>
      </c>
      <c r="U301" s="191"/>
      <c r="V301" s="192">
        <v>200</v>
      </c>
      <c r="W301" s="192"/>
      <c r="AD301" s="10"/>
      <c r="AE301" s="10"/>
    </row>
    <row r="303" spans="3:31" s="1" customFormat="1">
      <c r="C303" s="13" t="s">
        <v>26</v>
      </c>
      <c r="D303" s="1">
        <v>40</v>
      </c>
      <c r="AD303" s="10">
        <v>45.54</v>
      </c>
      <c r="AE303" s="39">
        <f>D303*AD303/1000</f>
        <v>1.8215999999999999</v>
      </c>
    </row>
    <row r="305" spans="1:31">
      <c r="A305" s="13" t="s">
        <v>111</v>
      </c>
      <c r="B305" s="13">
        <f>AE305+AE311+AE313+AE322+AE324+AE329</f>
        <v>44.747950000000003</v>
      </c>
      <c r="C305" s="25" t="s">
        <v>28</v>
      </c>
      <c r="D305" s="74">
        <v>40</v>
      </c>
      <c r="AE305" s="18">
        <f>AE306+AE307+AE308+AE309</f>
        <v>1.9912000000000001</v>
      </c>
    </row>
    <row r="306" spans="1:31">
      <c r="A306" s="13" t="s">
        <v>203</v>
      </c>
      <c r="C306" s="25"/>
      <c r="D306" s="74"/>
      <c r="E306" s="237" t="s">
        <v>31</v>
      </c>
      <c r="F306" s="238"/>
      <c r="G306" s="238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9"/>
      <c r="T306" s="233">
        <v>54</v>
      </c>
      <c r="U306" s="234"/>
      <c r="AD306" s="10">
        <v>30</v>
      </c>
      <c r="AE306" s="10">
        <f>AD306*T306/1000</f>
        <v>1.62</v>
      </c>
    </row>
    <row r="307" spans="1:31">
      <c r="C307" s="25"/>
      <c r="D307" s="74"/>
      <c r="E307" s="237" t="s">
        <v>32</v>
      </c>
      <c r="F307" s="238"/>
      <c r="G307" s="238"/>
      <c r="H307" s="238"/>
      <c r="I307" s="238"/>
      <c r="J307" s="238"/>
      <c r="K307" s="238"/>
      <c r="L307" s="238"/>
      <c r="M307" s="238"/>
      <c r="N307" s="238"/>
      <c r="O307" s="238"/>
      <c r="P307" s="238"/>
      <c r="Q307" s="238"/>
      <c r="R307" s="238"/>
      <c r="S307" s="239"/>
      <c r="T307" s="233">
        <v>2.5</v>
      </c>
      <c r="U307" s="234"/>
      <c r="AD307" s="10">
        <v>140</v>
      </c>
      <c r="AE307" s="10">
        <f t="shared" ref="AE307:AE309" si="26">AD307*T307/1000</f>
        <v>0.35</v>
      </c>
    </row>
    <row r="308" spans="1:31">
      <c r="C308" s="25"/>
      <c r="D308" s="74"/>
      <c r="E308" s="237" t="s">
        <v>19</v>
      </c>
      <c r="F308" s="238"/>
      <c r="G308" s="238"/>
      <c r="H308" s="238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9"/>
      <c r="T308" s="233">
        <v>0.6</v>
      </c>
      <c r="U308" s="234"/>
      <c r="AD308" s="10">
        <v>17</v>
      </c>
      <c r="AE308" s="10">
        <f t="shared" si="26"/>
        <v>1.0199999999999999E-2</v>
      </c>
    </row>
    <row r="309" spans="1:31">
      <c r="C309" s="25"/>
      <c r="D309" s="74"/>
      <c r="E309" s="237" t="s">
        <v>20</v>
      </c>
      <c r="F309" s="238"/>
      <c r="G309" s="238"/>
      <c r="H309" s="238"/>
      <c r="I309" s="238"/>
      <c r="J309" s="238"/>
      <c r="K309" s="238"/>
      <c r="L309" s="238"/>
      <c r="M309" s="238"/>
      <c r="N309" s="238"/>
      <c r="O309" s="238"/>
      <c r="P309" s="238"/>
      <c r="Q309" s="238"/>
      <c r="R309" s="238"/>
      <c r="S309" s="239"/>
      <c r="T309" s="235">
        <v>0.2</v>
      </c>
      <c r="U309" s="236"/>
      <c r="AD309" s="10">
        <v>55</v>
      </c>
      <c r="AE309" s="10">
        <f t="shared" si="26"/>
        <v>1.0999999999999999E-2</v>
      </c>
    </row>
    <row r="310" spans="1:31">
      <c r="C310" s="25"/>
      <c r="D310" s="74"/>
      <c r="E310" s="98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100"/>
      <c r="T310" s="101"/>
      <c r="U310" s="102"/>
    </row>
    <row r="311" spans="1:31">
      <c r="C311" s="13" t="s">
        <v>97</v>
      </c>
      <c r="D311" s="1">
        <v>15</v>
      </c>
      <c r="E311" s="183" t="s">
        <v>78</v>
      </c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4">
        <v>15.75</v>
      </c>
      <c r="U311" s="184"/>
      <c r="V311" s="184">
        <v>15</v>
      </c>
      <c r="W311" s="184"/>
      <c r="AD311" s="10">
        <v>430.2</v>
      </c>
      <c r="AE311" s="36">
        <f>T311*AD311/1000</f>
        <v>6.7756499999999997</v>
      </c>
    </row>
    <row r="313" spans="1:31">
      <c r="C313" s="13" t="s">
        <v>80</v>
      </c>
      <c r="D313" s="1">
        <v>250</v>
      </c>
      <c r="T313" s="182" t="s">
        <v>11</v>
      </c>
      <c r="U313" s="182"/>
      <c r="V313" s="182" t="s">
        <v>12</v>
      </c>
      <c r="W313" s="182"/>
      <c r="AE313" s="29">
        <f>SUM(AE314:AE319)</f>
        <v>26.450500000000002</v>
      </c>
    </row>
    <row r="314" spans="1:31">
      <c r="E314" s="256" t="s">
        <v>52</v>
      </c>
      <c r="F314" s="256"/>
      <c r="G314" s="256"/>
      <c r="H314" s="256"/>
      <c r="I314" s="256"/>
      <c r="J314" s="256"/>
      <c r="K314" s="256"/>
      <c r="L314" s="256"/>
      <c r="M314" s="256"/>
      <c r="N314" s="256"/>
      <c r="O314" s="256"/>
      <c r="P314" s="256"/>
      <c r="Q314" s="256"/>
      <c r="R314" s="256"/>
      <c r="S314" s="256"/>
      <c r="T314" s="257">
        <v>125</v>
      </c>
      <c r="U314" s="257"/>
      <c r="V314" s="257">
        <v>125</v>
      </c>
      <c r="W314" s="257"/>
      <c r="AD314" s="10">
        <v>140</v>
      </c>
      <c r="AE314" s="10">
        <f>T314*AD314/1000</f>
        <v>17.5</v>
      </c>
    </row>
    <row r="315" spans="1:31">
      <c r="E315" s="237" t="s">
        <v>16</v>
      </c>
      <c r="F315" s="238"/>
      <c r="G315" s="238"/>
      <c r="H315" s="238"/>
      <c r="I315" s="238"/>
      <c r="J315" s="238"/>
      <c r="K315" s="238"/>
      <c r="L315" s="238"/>
      <c r="M315" s="238"/>
      <c r="N315" s="238"/>
      <c r="O315" s="238"/>
      <c r="P315" s="238"/>
      <c r="Q315" s="238"/>
      <c r="R315" s="238"/>
      <c r="S315" s="239"/>
      <c r="T315" s="233">
        <v>100</v>
      </c>
      <c r="U315" s="234"/>
      <c r="V315" s="257">
        <v>100</v>
      </c>
      <c r="W315" s="257"/>
      <c r="AD315" s="10">
        <v>48.17</v>
      </c>
      <c r="AE315" s="10">
        <f t="shared" ref="AE315:AE319" si="27">T315*AD315/1000</f>
        <v>4.8170000000000002</v>
      </c>
    </row>
    <row r="316" spans="1:31">
      <c r="E316" s="237" t="s">
        <v>18</v>
      </c>
      <c r="F316" s="238"/>
      <c r="G316" s="238"/>
      <c r="H316" s="238"/>
      <c r="I316" s="238"/>
      <c r="J316" s="238"/>
      <c r="K316" s="238"/>
      <c r="L316" s="238"/>
      <c r="M316" s="238"/>
      <c r="N316" s="238"/>
      <c r="O316" s="238"/>
      <c r="P316" s="238"/>
      <c r="Q316" s="238"/>
      <c r="R316" s="238"/>
      <c r="S316" s="239"/>
      <c r="T316" s="233">
        <v>3.75</v>
      </c>
      <c r="U316" s="234"/>
      <c r="V316" s="257">
        <v>3.75</v>
      </c>
      <c r="W316" s="257"/>
      <c r="AD316" s="10">
        <v>550</v>
      </c>
      <c r="AE316" s="10">
        <f t="shared" si="27"/>
        <v>2.0625</v>
      </c>
    </row>
    <row r="317" spans="1:31">
      <c r="E317" s="237" t="s">
        <v>17</v>
      </c>
      <c r="F317" s="238"/>
      <c r="G317" s="238"/>
      <c r="H317" s="238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9"/>
      <c r="T317" s="233">
        <v>56.25</v>
      </c>
      <c r="U317" s="234"/>
      <c r="V317" s="257">
        <v>56.25</v>
      </c>
      <c r="W317" s="257"/>
      <c r="AE317" s="10">
        <f t="shared" si="27"/>
        <v>0</v>
      </c>
    </row>
    <row r="318" spans="1:31">
      <c r="E318" s="237" t="s">
        <v>18</v>
      </c>
      <c r="F318" s="238"/>
      <c r="G318" s="238"/>
      <c r="H318" s="238"/>
      <c r="I318" s="238"/>
      <c r="J318" s="238"/>
      <c r="K318" s="238"/>
      <c r="L318" s="238"/>
      <c r="M318" s="238"/>
      <c r="N318" s="238"/>
      <c r="O318" s="238"/>
      <c r="P318" s="238"/>
      <c r="Q318" s="238"/>
      <c r="R318" s="238"/>
      <c r="S318" s="239"/>
      <c r="T318" s="235">
        <v>3.75</v>
      </c>
      <c r="U318" s="236"/>
      <c r="V318" s="257">
        <v>3.75</v>
      </c>
      <c r="W318" s="257"/>
      <c r="AD318" s="10">
        <v>550</v>
      </c>
      <c r="AE318" s="10">
        <f t="shared" si="27"/>
        <v>2.0625</v>
      </c>
    </row>
    <row r="319" spans="1:31">
      <c r="E319" s="256" t="s">
        <v>19</v>
      </c>
      <c r="F319" s="256"/>
      <c r="G319" s="256"/>
      <c r="H319" s="256"/>
      <c r="I319" s="256"/>
      <c r="J319" s="256"/>
      <c r="K319" s="256"/>
      <c r="L319" s="256"/>
      <c r="M319" s="256"/>
      <c r="N319" s="256"/>
      <c r="O319" s="256"/>
      <c r="P319" s="256"/>
      <c r="Q319" s="256"/>
      <c r="R319" s="256"/>
      <c r="S319" s="256"/>
      <c r="T319" s="257">
        <v>0.5</v>
      </c>
      <c r="U319" s="257"/>
      <c r="V319" s="257">
        <v>0.5</v>
      </c>
      <c r="W319" s="257"/>
      <c r="AD319" s="10">
        <v>17</v>
      </c>
      <c r="AE319" s="10">
        <f t="shared" si="27"/>
        <v>8.5000000000000006E-3</v>
      </c>
    </row>
    <row r="320" spans="1:31">
      <c r="E320" s="289" t="s">
        <v>21</v>
      </c>
      <c r="F320" s="289"/>
      <c r="G320" s="289"/>
      <c r="H320" s="289"/>
      <c r="I320" s="289"/>
      <c r="J320" s="289"/>
      <c r="K320" s="289"/>
      <c r="L320" s="289"/>
      <c r="M320" s="289"/>
      <c r="N320" s="289"/>
      <c r="O320" s="289"/>
      <c r="P320" s="289"/>
      <c r="Q320" s="289"/>
      <c r="R320" s="289"/>
      <c r="S320" s="289"/>
      <c r="T320" s="290" t="s">
        <v>22</v>
      </c>
      <c r="U320" s="290"/>
      <c r="V320" s="291">
        <v>250</v>
      </c>
      <c r="W320" s="291"/>
    </row>
    <row r="322" spans="1:31">
      <c r="A322" s="1"/>
      <c r="B322" s="1"/>
      <c r="C322" s="76" t="s">
        <v>2</v>
      </c>
      <c r="E322" s="183" t="s">
        <v>2</v>
      </c>
      <c r="F322" s="183"/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4">
        <v>100</v>
      </c>
      <c r="U322" s="184"/>
      <c r="V322" s="184">
        <v>100</v>
      </c>
      <c r="W322" s="184"/>
      <c r="AD322" s="10">
        <v>62.4</v>
      </c>
      <c r="AE322" s="36">
        <f>T322*AD322/1000</f>
        <v>6.24</v>
      </c>
    </row>
    <row r="324" spans="1:31">
      <c r="A324" s="1"/>
      <c r="B324" s="1"/>
      <c r="C324" s="13" t="s">
        <v>57</v>
      </c>
      <c r="D324" s="1">
        <v>200</v>
      </c>
      <c r="T324" s="182" t="s">
        <v>11</v>
      </c>
      <c r="U324" s="182"/>
      <c r="V324" s="182" t="s">
        <v>12</v>
      </c>
      <c r="W324" s="182"/>
      <c r="AE324" s="29">
        <f>AE325+AE326</f>
        <v>1.125</v>
      </c>
    </row>
    <row r="325" spans="1:31">
      <c r="A325" s="1"/>
      <c r="B325" s="1"/>
      <c r="E325" s="183" t="s">
        <v>58</v>
      </c>
      <c r="F325" s="183"/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84">
        <v>0.6</v>
      </c>
      <c r="U325" s="184"/>
      <c r="V325" s="184">
        <v>0.6</v>
      </c>
      <c r="W325" s="184"/>
      <c r="AD325" s="10">
        <v>500</v>
      </c>
      <c r="AE325" s="10">
        <f>AD325*T325/1000</f>
        <v>0.3</v>
      </c>
    </row>
    <row r="326" spans="1:31">
      <c r="A326" s="1"/>
      <c r="B326" s="1"/>
      <c r="E326" s="185" t="s">
        <v>20</v>
      </c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7"/>
      <c r="T326" s="188">
        <v>15</v>
      </c>
      <c r="U326" s="189"/>
      <c r="V326" s="188">
        <v>15</v>
      </c>
      <c r="W326" s="189"/>
      <c r="AD326" s="10">
        <v>55</v>
      </c>
      <c r="AE326" s="10">
        <f>AD326*T326/1000</f>
        <v>0.82499999999999996</v>
      </c>
    </row>
    <row r="327" spans="1:31">
      <c r="A327" s="1"/>
      <c r="B327" s="1"/>
      <c r="E327" s="190" t="s">
        <v>21</v>
      </c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1" t="s">
        <v>22</v>
      </c>
      <c r="U327" s="191"/>
      <c r="V327" s="192">
        <v>200</v>
      </c>
      <c r="W327" s="192"/>
    </row>
    <row r="329" spans="1:31">
      <c r="A329" s="1"/>
      <c r="B329" s="1"/>
      <c r="C329" s="13" t="s">
        <v>59</v>
      </c>
      <c r="D329" s="1">
        <v>40</v>
      </c>
      <c r="AD329" s="10">
        <v>54.14</v>
      </c>
      <c r="AE329" s="29">
        <f>D329*AD329/1000</f>
        <v>2.1656</v>
      </c>
    </row>
  </sheetData>
  <mergeCells count="690">
    <mergeCell ref="E5:S7"/>
    <mergeCell ref="T5:AC5"/>
    <mergeCell ref="T6:W6"/>
    <mergeCell ref="X6:AC6"/>
    <mergeCell ref="T7:U7"/>
    <mergeCell ref="V7:W7"/>
    <mergeCell ref="X7:AA7"/>
    <mergeCell ref="AB7:AC7"/>
    <mergeCell ref="E8:S8"/>
    <mergeCell ref="T8:U8"/>
    <mergeCell ref="V8:W8"/>
    <mergeCell ref="X8:AA8"/>
    <mergeCell ref="AB8:AC8"/>
    <mergeCell ref="E9:S9"/>
    <mergeCell ref="T9:U9"/>
    <mergeCell ref="V9:W9"/>
    <mergeCell ref="X9:AA9"/>
    <mergeCell ref="AB9:AC9"/>
    <mergeCell ref="T10:U10"/>
    <mergeCell ref="V10:W10"/>
    <mergeCell ref="X10:AA10"/>
    <mergeCell ref="AB10:AC10"/>
    <mergeCell ref="E11:S11"/>
    <mergeCell ref="T11:U11"/>
    <mergeCell ref="V11:W11"/>
    <mergeCell ref="X11:AA11"/>
    <mergeCell ref="AB11:AC11"/>
    <mergeCell ref="E12:S12"/>
    <mergeCell ref="T12:U12"/>
    <mergeCell ref="V12:W12"/>
    <mergeCell ref="X12:AA12"/>
    <mergeCell ref="AB12:AC12"/>
    <mergeCell ref="T13:U13"/>
    <mergeCell ref="V13:W13"/>
    <mergeCell ref="X13:AA13"/>
    <mergeCell ref="AB13:AC13"/>
    <mergeCell ref="E14:S14"/>
    <mergeCell ref="T14:U14"/>
    <mergeCell ref="V14:W14"/>
    <mergeCell ref="X14:AA14"/>
    <mergeCell ref="AB14:AC14"/>
    <mergeCell ref="E15:S15"/>
    <mergeCell ref="T15:U15"/>
    <mergeCell ref="V15:W15"/>
    <mergeCell ref="X15:AA15"/>
    <mergeCell ref="AB15:AC15"/>
    <mergeCell ref="E17:H19"/>
    <mergeCell ref="I17:L19"/>
    <mergeCell ref="M17:P19"/>
    <mergeCell ref="T17:AA17"/>
    <mergeCell ref="T18:W18"/>
    <mergeCell ref="X18:AA18"/>
    <mergeCell ref="T19:U19"/>
    <mergeCell ref="V19:W19"/>
    <mergeCell ref="X19:Y19"/>
    <mergeCell ref="Z19:AA19"/>
    <mergeCell ref="Z20:AA20"/>
    <mergeCell ref="E21:H21"/>
    <mergeCell ref="I21:L21"/>
    <mergeCell ref="M21:P21"/>
    <mergeCell ref="T21:U21"/>
    <mergeCell ref="V21:W21"/>
    <mergeCell ref="X21:Y21"/>
    <mergeCell ref="Z21:AA21"/>
    <mergeCell ref="E20:H20"/>
    <mergeCell ref="I20:L20"/>
    <mergeCell ref="M20:P20"/>
    <mergeCell ref="T20:U20"/>
    <mergeCell ref="V20:W20"/>
    <mergeCell ref="X20:Y20"/>
    <mergeCell ref="Z22:AA22"/>
    <mergeCell ref="E23:H23"/>
    <mergeCell ref="I23:L23"/>
    <mergeCell ref="M23:P23"/>
    <mergeCell ref="T23:U23"/>
    <mergeCell ref="V23:W23"/>
    <mergeCell ref="X23:Y23"/>
    <mergeCell ref="Z23:AA23"/>
    <mergeCell ref="E22:H22"/>
    <mergeCell ref="I22:L22"/>
    <mergeCell ref="M22:P22"/>
    <mergeCell ref="T22:U22"/>
    <mergeCell ref="V22:W22"/>
    <mergeCell ref="X22:Y22"/>
    <mergeCell ref="E32:S32"/>
    <mergeCell ref="T32:U32"/>
    <mergeCell ref="T38:W38"/>
    <mergeCell ref="T39:U39"/>
    <mergeCell ref="V39:W39"/>
    <mergeCell ref="E40:S40"/>
    <mergeCell ref="T40:U40"/>
    <mergeCell ref="V40:W40"/>
    <mergeCell ref="Z24:AA24"/>
    <mergeCell ref="E29:S29"/>
    <mergeCell ref="T29:U29"/>
    <mergeCell ref="E30:S30"/>
    <mergeCell ref="T30:U30"/>
    <mergeCell ref="E31:S31"/>
    <mergeCell ref="T31:U31"/>
    <mergeCell ref="E24:H24"/>
    <mergeCell ref="I24:L24"/>
    <mergeCell ref="M24:P24"/>
    <mergeCell ref="T24:U24"/>
    <mergeCell ref="V24:W24"/>
    <mergeCell ref="X24:Y24"/>
    <mergeCell ref="E43:S43"/>
    <mergeCell ref="T43:U43"/>
    <mergeCell ref="V43:W43"/>
    <mergeCell ref="E44:S44"/>
    <mergeCell ref="T44:U44"/>
    <mergeCell ref="V44:W44"/>
    <mergeCell ref="E41:S41"/>
    <mergeCell ref="T41:U41"/>
    <mergeCell ref="V41:W41"/>
    <mergeCell ref="E42:S42"/>
    <mergeCell ref="T42:U42"/>
    <mergeCell ref="V42:W42"/>
    <mergeCell ref="T48:U48"/>
    <mergeCell ref="V48:W48"/>
    <mergeCell ref="E49:S49"/>
    <mergeCell ref="T49:U49"/>
    <mergeCell ref="V49:W49"/>
    <mergeCell ref="E50:S50"/>
    <mergeCell ref="T50:U50"/>
    <mergeCell ref="V50:W50"/>
    <mergeCell ref="E45:S45"/>
    <mergeCell ref="T45:U45"/>
    <mergeCell ref="V45:W45"/>
    <mergeCell ref="E46:S46"/>
    <mergeCell ref="T46:U46"/>
    <mergeCell ref="V46:W46"/>
    <mergeCell ref="T54:U54"/>
    <mergeCell ref="V54:W54"/>
    <mergeCell ref="E55:S55"/>
    <mergeCell ref="T55:U55"/>
    <mergeCell ref="V55:W55"/>
    <mergeCell ref="E56:S56"/>
    <mergeCell ref="T56:U56"/>
    <mergeCell ref="V56:W56"/>
    <mergeCell ref="E51:S51"/>
    <mergeCell ref="T51:U51"/>
    <mergeCell ref="V51:W51"/>
    <mergeCell ref="E52:S52"/>
    <mergeCell ref="T52:U52"/>
    <mergeCell ref="V52:W52"/>
    <mergeCell ref="E59:S59"/>
    <mergeCell ref="T59:U59"/>
    <mergeCell ref="V59:W59"/>
    <mergeCell ref="T64:U64"/>
    <mergeCell ref="V64:W64"/>
    <mergeCell ref="E65:S65"/>
    <mergeCell ref="T65:U65"/>
    <mergeCell ref="V65:W65"/>
    <mergeCell ref="E57:S57"/>
    <mergeCell ref="T57:U57"/>
    <mergeCell ref="V57:W57"/>
    <mergeCell ref="E58:S58"/>
    <mergeCell ref="T58:U58"/>
    <mergeCell ref="V58:W58"/>
    <mergeCell ref="E68:S68"/>
    <mergeCell ref="T68:U68"/>
    <mergeCell ref="V68:W68"/>
    <mergeCell ref="T70:U70"/>
    <mergeCell ref="V70:W70"/>
    <mergeCell ref="E71:S71"/>
    <mergeCell ref="T71:U71"/>
    <mergeCell ref="V71:W71"/>
    <mergeCell ref="E66:S66"/>
    <mergeCell ref="T66:U66"/>
    <mergeCell ref="V66:W66"/>
    <mergeCell ref="E67:S67"/>
    <mergeCell ref="T67:U67"/>
    <mergeCell ref="V67:W67"/>
    <mergeCell ref="E76:S76"/>
    <mergeCell ref="T76:U76"/>
    <mergeCell ref="V76:W76"/>
    <mergeCell ref="E77:S77"/>
    <mergeCell ref="T77:U77"/>
    <mergeCell ref="V77:W77"/>
    <mergeCell ref="T72:U72"/>
    <mergeCell ref="V72:W72"/>
    <mergeCell ref="T74:U74"/>
    <mergeCell ref="V74:W74"/>
    <mergeCell ref="E75:S75"/>
    <mergeCell ref="T75:U75"/>
    <mergeCell ref="V75:W75"/>
    <mergeCell ref="E80:S80"/>
    <mergeCell ref="T80:U80"/>
    <mergeCell ref="V80:W80"/>
    <mergeCell ref="E81:S81"/>
    <mergeCell ref="T81:U81"/>
    <mergeCell ref="V81:W81"/>
    <mergeCell ref="E78:S78"/>
    <mergeCell ref="T78:U78"/>
    <mergeCell ref="V78:W78"/>
    <mergeCell ref="E79:S79"/>
    <mergeCell ref="T79:U79"/>
    <mergeCell ref="V79:W79"/>
    <mergeCell ref="E84:S84"/>
    <mergeCell ref="T84:U84"/>
    <mergeCell ref="V84:W84"/>
    <mergeCell ref="E85:S85"/>
    <mergeCell ref="T85:U85"/>
    <mergeCell ref="V85:W85"/>
    <mergeCell ref="E82:S82"/>
    <mergeCell ref="T82:U82"/>
    <mergeCell ref="V82:W82"/>
    <mergeCell ref="E83:S83"/>
    <mergeCell ref="T83:U83"/>
    <mergeCell ref="V83:W83"/>
    <mergeCell ref="E90:S90"/>
    <mergeCell ref="T90:U90"/>
    <mergeCell ref="V90:W90"/>
    <mergeCell ref="E91:S91"/>
    <mergeCell ref="T91:U91"/>
    <mergeCell ref="V91:W91"/>
    <mergeCell ref="E86:S86"/>
    <mergeCell ref="T86:U86"/>
    <mergeCell ref="V86:W86"/>
    <mergeCell ref="T88:U88"/>
    <mergeCell ref="V88:W88"/>
    <mergeCell ref="E89:S89"/>
    <mergeCell ref="T89:U89"/>
    <mergeCell ref="V89:W89"/>
    <mergeCell ref="T101:U101"/>
    <mergeCell ref="V101:W101"/>
    <mergeCell ref="T99:U99"/>
    <mergeCell ref="V99:W99"/>
    <mergeCell ref="T100:U100"/>
    <mergeCell ref="V100:W100"/>
    <mergeCell ref="E105:S105"/>
    <mergeCell ref="T105:U105"/>
    <mergeCell ref="V105:W105"/>
    <mergeCell ref="E106:S106"/>
    <mergeCell ref="T106:U106"/>
    <mergeCell ref="V106:W106"/>
    <mergeCell ref="E103:S103"/>
    <mergeCell ref="T103:U103"/>
    <mergeCell ref="V103:W103"/>
    <mergeCell ref="E104:S104"/>
    <mergeCell ref="T104:U104"/>
    <mergeCell ref="V104:W104"/>
    <mergeCell ref="E111:S111"/>
    <mergeCell ref="T111:U111"/>
    <mergeCell ref="V111:W111"/>
    <mergeCell ref="E112:S112"/>
    <mergeCell ref="T112:U112"/>
    <mergeCell ref="V112:W112"/>
    <mergeCell ref="E107:S107"/>
    <mergeCell ref="T107:U107"/>
    <mergeCell ref="V107:W107"/>
    <mergeCell ref="T109:U109"/>
    <mergeCell ref="V109:W109"/>
    <mergeCell ref="E110:S110"/>
    <mergeCell ref="T110:U110"/>
    <mergeCell ref="V110:W110"/>
    <mergeCell ref="E117:S117"/>
    <mergeCell ref="T117:U117"/>
    <mergeCell ref="V117:W117"/>
    <mergeCell ref="E118:S118"/>
    <mergeCell ref="T118:U118"/>
    <mergeCell ref="V118:W118"/>
    <mergeCell ref="E113:S113"/>
    <mergeCell ref="T113:U113"/>
    <mergeCell ref="V113:W113"/>
    <mergeCell ref="T115:U115"/>
    <mergeCell ref="V115:W115"/>
    <mergeCell ref="E116:S116"/>
    <mergeCell ref="T116:U116"/>
    <mergeCell ref="V116:W116"/>
    <mergeCell ref="E125:S125"/>
    <mergeCell ref="T125:U125"/>
    <mergeCell ref="V125:W125"/>
    <mergeCell ref="T126:U126"/>
    <mergeCell ref="V126:W126"/>
    <mergeCell ref="E127:S127"/>
    <mergeCell ref="T127:U127"/>
    <mergeCell ref="V127:W127"/>
    <mergeCell ref="E119:S119"/>
    <mergeCell ref="T119:U119"/>
    <mergeCell ref="V119:W119"/>
    <mergeCell ref="T123:U123"/>
    <mergeCell ref="V123:W123"/>
    <mergeCell ref="E124:S124"/>
    <mergeCell ref="T124:U124"/>
    <mergeCell ref="V124:W124"/>
    <mergeCell ref="E132:S132"/>
    <mergeCell ref="T132:U132"/>
    <mergeCell ref="V132:W132"/>
    <mergeCell ref="E133:S133"/>
    <mergeCell ref="T133:U133"/>
    <mergeCell ref="V133:W133"/>
    <mergeCell ref="T128:U128"/>
    <mergeCell ref="V128:W128"/>
    <mergeCell ref="E129:S129"/>
    <mergeCell ref="T129:U129"/>
    <mergeCell ref="V129:W129"/>
    <mergeCell ref="T131:U131"/>
    <mergeCell ref="V131:W131"/>
    <mergeCell ref="E136:S136"/>
    <mergeCell ref="T136:U136"/>
    <mergeCell ref="V136:W136"/>
    <mergeCell ref="E137:S137"/>
    <mergeCell ref="T137:U137"/>
    <mergeCell ref="V137:W137"/>
    <mergeCell ref="E134:S134"/>
    <mergeCell ref="T134:U134"/>
    <mergeCell ref="V134:W134"/>
    <mergeCell ref="E135:S135"/>
    <mergeCell ref="T135:U135"/>
    <mergeCell ref="V135:W135"/>
    <mergeCell ref="T144:U144"/>
    <mergeCell ref="V144:W144"/>
    <mergeCell ref="E145:S145"/>
    <mergeCell ref="T145:U145"/>
    <mergeCell ref="V145:W145"/>
    <mergeCell ref="E146:S146"/>
    <mergeCell ref="T146:U146"/>
    <mergeCell ref="V146:W146"/>
    <mergeCell ref="E138:S138"/>
    <mergeCell ref="T138:U138"/>
    <mergeCell ref="V138:W138"/>
    <mergeCell ref="T139:U139"/>
    <mergeCell ref="V139:W139"/>
    <mergeCell ref="E140:S140"/>
    <mergeCell ref="T140:U140"/>
    <mergeCell ref="V140:W140"/>
    <mergeCell ref="T153:U153"/>
    <mergeCell ref="V153:W153"/>
    <mergeCell ref="E154:S154"/>
    <mergeCell ref="T154:U154"/>
    <mergeCell ref="V154:W154"/>
    <mergeCell ref="E155:S155"/>
    <mergeCell ref="T155:U155"/>
    <mergeCell ref="V155:W155"/>
    <mergeCell ref="E147:S147"/>
    <mergeCell ref="T147:U147"/>
    <mergeCell ref="V147:W147"/>
    <mergeCell ref="E151:S151"/>
    <mergeCell ref="T151:U151"/>
    <mergeCell ref="V151:W151"/>
    <mergeCell ref="E158:S158"/>
    <mergeCell ref="T158:U158"/>
    <mergeCell ref="V158:W158"/>
    <mergeCell ref="E159:S159"/>
    <mergeCell ref="T159:U159"/>
    <mergeCell ref="V159:W159"/>
    <mergeCell ref="E156:S156"/>
    <mergeCell ref="T156:U156"/>
    <mergeCell ref="V156:W156"/>
    <mergeCell ref="E157:S157"/>
    <mergeCell ref="T157:U157"/>
    <mergeCell ref="V157:W157"/>
    <mergeCell ref="E162:S162"/>
    <mergeCell ref="T162:U162"/>
    <mergeCell ref="V162:W162"/>
    <mergeCell ref="E163:S163"/>
    <mergeCell ref="T163:U163"/>
    <mergeCell ref="V163:W163"/>
    <mergeCell ref="E160:S160"/>
    <mergeCell ref="T160:U160"/>
    <mergeCell ref="V160:W160"/>
    <mergeCell ref="E161:S161"/>
    <mergeCell ref="T161:U161"/>
    <mergeCell ref="V161:W161"/>
    <mergeCell ref="E168:S168"/>
    <mergeCell ref="T168:U168"/>
    <mergeCell ref="V168:W168"/>
    <mergeCell ref="E169:S169"/>
    <mergeCell ref="T169:U169"/>
    <mergeCell ref="V169:W169"/>
    <mergeCell ref="T165:U165"/>
    <mergeCell ref="V165:W165"/>
    <mergeCell ref="E166:S166"/>
    <mergeCell ref="T166:U166"/>
    <mergeCell ref="V166:W166"/>
    <mergeCell ref="E167:S167"/>
    <mergeCell ref="T167:U167"/>
    <mergeCell ref="V167:W167"/>
    <mergeCell ref="E177:S177"/>
    <mergeCell ref="T177:U177"/>
    <mergeCell ref="V177:W177"/>
    <mergeCell ref="E179:S179"/>
    <mergeCell ref="T179:U179"/>
    <mergeCell ref="V179:W179"/>
    <mergeCell ref="E170:S170"/>
    <mergeCell ref="T170:U170"/>
    <mergeCell ref="V170:W170"/>
    <mergeCell ref="E172:S172"/>
    <mergeCell ref="T172:U172"/>
    <mergeCell ref="V172:W172"/>
    <mergeCell ref="E184:S184"/>
    <mergeCell ref="T184:U184"/>
    <mergeCell ref="V184:W184"/>
    <mergeCell ref="E185:S185"/>
    <mergeCell ref="T185:U185"/>
    <mergeCell ref="V185:W185"/>
    <mergeCell ref="T181:U181"/>
    <mergeCell ref="V181:W181"/>
    <mergeCell ref="E182:S182"/>
    <mergeCell ref="T182:U182"/>
    <mergeCell ref="V182:W182"/>
    <mergeCell ref="E183:S183"/>
    <mergeCell ref="T183:U183"/>
    <mergeCell ref="V183:W183"/>
    <mergeCell ref="T189:U189"/>
    <mergeCell ref="V189:W189"/>
    <mergeCell ref="E190:S190"/>
    <mergeCell ref="T190:U190"/>
    <mergeCell ref="V190:W190"/>
    <mergeCell ref="E191:S191"/>
    <mergeCell ref="T191:U191"/>
    <mergeCell ref="V191:W191"/>
    <mergeCell ref="E186:S186"/>
    <mergeCell ref="T186:U186"/>
    <mergeCell ref="V186:W186"/>
    <mergeCell ref="E187:S187"/>
    <mergeCell ref="T187:U187"/>
    <mergeCell ref="V187:W187"/>
    <mergeCell ref="E194:S194"/>
    <mergeCell ref="T194:U194"/>
    <mergeCell ref="V194:W194"/>
    <mergeCell ref="E200:S200"/>
    <mergeCell ref="T200:U200"/>
    <mergeCell ref="E201:S201"/>
    <mergeCell ref="T201:U201"/>
    <mergeCell ref="E192:S192"/>
    <mergeCell ref="T192:U192"/>
    <mergeCell ref="V192:W192"/>
    <mergeCell ref="E193:S193"/>
    <mergeCell ref="T193:U193"/>
    <mergeCell ref="V193:W193"/>
    <mergeCell ref="T209:U209"/>
    <mergeCell ref="V209:W209"/>
    <mergeCell ref="E210:S210"/>
    <mergeCell ref="T210:U210"/>
    <mergeCell ref="V210:W210"/>
    <mergeCell ref="E211:S211"/>
    <mergeCell ref="T211:U211"/>
    <mergeCell ref="V211:W211"/>
    <mergeCell ref="E202:S202"/>
    <mergeCell ref="T202:U202"/>
    <mergeCell ref="E203:S203"/>
    <mergeCell ref="T203:U203"/>
    <mergeCell ref="E207:S207"/>
    <mergeCell ref="T207:U207"/>
    <mergeCell ref="E214:S214"/>
    <mergeCell ref="T214:U214"/>
    <mergeCell ref="V214:W214"/>
    <mergeCell ref="E215:S215"/>
    <mergeCell ref="T215:U215"/>
    <mergeCell ref="V215:W215"/>
    <mergeCell ref="E212:S212"/>
    <mergeCell ref="T212:U212"/>
    <mergeCell ref="V212:W212"/>
    <mergeCell ref="E213:S213"/>
    <mergeCell ref="T213:U213"/>
    <mergeCell ref="V213:W213"/>
    <mergeCell ref="E218:S218"/>
    <mergeCell ref="T218:U218"/>
    <mergeCell ref="V218:W218"/>
    <mergeCell ref="E219:S219"/>
    <mergeCell ref="T219:U219"/>
    <mergeCell ref="V219:W219"/>
    <mergeCell ref="E216:S216"/>
    <mergeCell ref="T216:U216"/>
    <mergeCell ref="V216:W216"/>
    <mergeCell ref="E217:S217"/>
    <mergeCell ref="T217:U217"/>
    <mergeCell ref="V217:W217"/>
    <mergeCell ref="T223:U223"/>
    <mergeCell ref="V223:W223"/>
    <mergeCell ref="E224:S224"/>
    <mergeCell ref="T224:U224"/>
    <mergeCell ref="V224:W224"/>
    <mergeCell ref="E225:S225"/>
    <mergeCell ref="T225:U225"/>
    <mergeCell ref="V225:W225"/>
    <mergeCell ref="E220:S220"/>
    <mergeCell ref="T220:U220"/>
    <mergeCell ref="V220:W220"/>
    <mergeCell ref="E221:S221"/>
    <mergeCell ref="T221:U221"/>
    <mergeCell ref="V221:W221"/>
    <mergeCell ref="E228:S228"/>
    <mergeCell ref="T228:U228"/>
    <mergeCell ref="V228:W228"/>
    <mergeCell ref="E229:S229"/>
    <mergeCell ref="T229:U229"/>
    <mergeCell ref="V229:W229"/>
    <mergeCell ref="E226:S226"/>
    <mergeCell ref="T226:U226"/>
    <mergeCell ref="V226:W226"/>
    <mergeCell ref="E227:S227"/>
    <mergeCell ref="T227:U227"/>
    <mergeCell ref="V227:W227"/>
    <mergeCell ref="E234:S234"/>
    <mergeCell ref="T234:U234"/>
    <mergeCell ref="V234:W234"/>
    <mergeCell ref="E242:I242"/>
    <mergeCell ref="E243:I243"/>
    <mergeCell ref="T245:U245"/>
    <mergeCell ref="V245:W245"/>
    <mergeCell ref="T231:U231"/>
    <mergeCell ref="V231:W231"/>
    <mergeCell ref="E232:S232"/>
    <mergeCell ref="T232:U232"/>
    <mergeCell ref="V232:W232"/>
    <mergeCell ref="E233:S233"/>
    <mergeCell ref="T233:U233"/>
    <mergeCell ref="V233:W233"/>
    <mergeCell ref="E248:S248"/>
    <mergeCell ref="T248:U248"/>
    <mergeCell ref="V248:W248"/>
    <mergeCell ref="E249:S249"/>
    <mergeCell ref="T249:U249"/>
    <mergeCell ref="V249:W249"/>
    <mergeCell ref="E246:S246"/>
    <mergeCell ref="T246:U246"/>
    <mergeCell ref="V246:W246"/>
    <mergeCell ref="E247:S247"/>
    <mergeCell ref="T247:U247"/>
    <mergeCell ref="V247:W247"/>
    <mergeCell ref="E252:S252"/>
    <mergeCell ref="T252:U252"/>
    <mergeCell ref="V252:W252"/>
    <mergeCell ref="E253:S253"/>
    <mergeCell ref="T253:U253"/>
    <mergeCell ref="V253:W253"/>
    <mergeCell ref="E250:S250"/>
    <mergeCell ref="T250:U250"/>
    <mergeCell ref="V250:W250"/>
    <mergeCell ref="E251:S251"/>
    <mergeCell ref="T251:U251"/>
    <mergeCell ref="V251:W251"/>
    <mergeCell ref="E257:S257"/>
    <mergeCell ref="T257:U257"/>
    <mergeCell ref="V257:W257"/>
    <mergeCell ref="T261:U261"/>
    <mergeCell ref="V261:W261"/>
    <mergeCell ref="E262:S262"/>
    <mergeCell ref="T262:U262"/>
    <mergeCell ref="V262:W262"/>
    <mergeCell ref="E254:S254"/>
    <mergeCell ref="T254:U254"/>
    <mergeCell ref="V254:W254"/>
    <mergeCell ref="E255:S255"/>
    <mergeCell ref="T255:U255"/>
    <mergeCell ref="V255:W255"/>
    <mergeCell ref="E265:S265"/>
    <mergeCell ref="T265:U265"/>
    <mergeCell ref="V265:W265"/>
    <mergeCell ref="E266:S266"/>
    <mergeCell ref="T266:U266"/>
    <mergeCell ref="V266:W266"/>
    <mergeCell ref="E263:S263"/>
    <mergeCell ref="T263:U263"/>
    <mergeCell ref="V263:W263"/>
    <mergeCell ref="E264:S264"/>
    <mergeCell ref="T264:U264"/>
    <mergeCell ref="V264:W264"/>
    <mergeCell ref="E273:S273"/>
    <mergeCell ref="T273:U273"/>
    <mergeCell ref="V273:W273"/>
    <mergeCell ref="E274:S274"/>
    <mergeCell ref="T274:U274"/>
    <mergeCell ref="V274:W274"/>
    <mergeCell ref="E267:S267"/>
    <mergeCell ref="T267:U267"/>
    <mergeCell ref="V267:W267"/>
    <mergeCell ref="T271:U271"/>
    <mergeCell ref="V271:W271"/>
    <mergeCell ref="E272:S272"/>
    <mergeCell ref="T272:U272"/>
    <mergeCell ref="V272:W272"/>
    <mergeCell ref="E277:S277"/>
    <mergeCell ref="T277:U277"/>
    <mergeCell ref="V277:W277"/>
    <mergeCell ref="E278:S278"/>
    <mergeCell ref="T278:U278"/>
    <mergeCell ref="V278:W278"/>
    <mergeCell ref="E275:S275"/>
    <mergeCell ref="T275:U275"/>
    <mergeCell ref="V275:W275"/>
    <mergeCell ref="E276:S276"/>
    <mergeCell ref="T276:U276"/>
    <mergeCell ref="V276:W276"/>
    <mergeCell ref="E281:S281"/>
    <mergeCell ref="T281:U281"/>
    <mergeCell ref="V281:W281"/>
    <mergeCell ref="E282:S282"/>
    <mergeCell ref="T282:U282"/>
    <mergeCell ref="V282:W282"/>
    <mergeCell ref="E279:S279"/>
    <mergeCell ref="T279:U279"/>
    <mergeCell ref="V279:W279"/>
    <mergeCell ref="E280:S280"/>
    <mergeCell ref="T280:U280"/>
    <mergeCell ref="V280:W280"/>
    <mergeCell ref="E285:S285"/>
    <mergeCell ref="T285:U285"/>
    <mergeCell ref="V285:W285"/>
    <mergeCell ref="E286:S286"/>
    <mergeCell ref="T286:U286"/>
    <mergeCell ref="V286:W286"/>
    <mergeCell ref="E283:S283"/>
    <mergeCell ref="T283:U283"/>
    <mergeCell ref="V283:W283"/>
    <mergeCell ref="E284:S284"/>
    <mergeCell ref="T284:U284"/>
    <mergeCell ref="V284:W284"/>
    <mergeCell ref="E291:S291"/>
    <mergeCell ref="T291:U291"/>
    <mergeCell ref="V291:W291"/>
    <mergeCell ref="E292:S292"/>
    <mergeCell ref="T292:U292"/>
    <mergeCell ref="V292:W292"/>
    <mergeCell ref="T288:U288"/>
    <mergeCell ref="V288:W288"/>
    <mergeCell ref="E289:S289"/>
    <mergeCell ref="T289:U289"/>
    <mergeCell ref="V289:W289"/>
    <mergeCell ref="E290:S290"/>
    <mergeCell ref="T290:U290"/>
    <mergeCell ref="V290:W290"/>
    <mergeCell ref="E299:S299"/>
    <mergeCell ref="T299:U299"/>
    <mergeCell ref="V299:W299"/>
    <mergeCell ref="E300:S300"/>
    <mergeCell ref="T300:U300"/>
    <mergeCell ref="V300:W300"/>
    <mergeCell ref="T296:U296"/>
    <mergeCell ref="V296:W296"/>
    <mergeCell ref="E297:S297"/>
    <mergeCell ref="T297:U297"/>
    <mergeCell ref="V297:W297"/>
    <mergeCell ref="E298:S298"/>
    <mergeCell ref="T298:U298"/>
    <mergeCell ref="V298:W298"/>
    <mergeCell ref="E308:S308"/>
    <mergeCell ref="T308:U308"/>
    <mergeCell ref="E309:S309"/>
    <mergeCell ref="T309:U309"/>
    <mergeCell ref="E311:S311"/>
    <mergeCell ref="T311:U311"/>
    <mergeCell ref="E301:S301"/>
    <mergeCell ref="T301:U301"/>
    <mergeCell ref="V301:W301"/>
    <mergeCell ref="E306:S306"/>
    <mergeCell ref="T306:U306"/>
    <mergeCell ref="E307:S307"/>
    <mergeCell ref="T307:U307"/>
    <mergeCell ref="E315:S315"/>
    <mergeCell ref="T315:U315"/>
    <mergeCell ref="V315:W315"/>
    <mergeCell ref="E316:S316"/>
    <mergeCell ref="T316:U316"/>
    <mergeCell ref="V316:W316"/>
    <mergeCell ref="V311:W311"/>
    <mergeCell ref="T313:U313"/>
    <mergeCell ref="V313:W313"/>
    <mergeCell ref="E314:S314"/>
    <mergeCell ref="T314:U314"/>
    <mergeCell ref="V314:W314"/>
    <mergeCell ref="E319:S319"/>
    <mergeCell ref="T319:U319"/>
    <mergeCell ref="V319:W319"/>
    <mergeCell ref="E320:S320"/>
    <mergeCell ref="T320:U320"/>
    <mergeCell ref="V320:W320"/>
    <mergeCell ref="E317:S317"/>
    <mergeCell ref="T317:U317"/>
    <mergeCell ref="V317:W317"/>
    <mergeCell ref="E318:S318"/>
    <mergeCell ref="T318:U318"/>
    <mergeCell ref="V318:W318"/>
    <mergeCell ref="E326:S326"/>
    <mergeCell ref="T326:U326"/>
    <mergeCell ref="V326:W326"/>
    <mergeCell ref="E327:S327"/>
    <mergeCell ref="T327:U327"/>
    <mergeCell ref="V327:W327"/>
    <mergeCell ref="E322:S322"/>
    <mergeCell ref="T322:U322"/>
    <mergeCell ref="V322:W322"/>
    <mergeCell ref="T324:U324"/>
    <mergeCell ref="V324:W324"/>
    <mergeCell ref="E325:S325"/>
    <mergeCell ref="T325:U325"/>
    <mergeCell ref="V325:W32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29"/>
  <sheetViews>
    <sheetView zoomScale="70" zoomScaleNormal="70" workbookViewId="0">
      <pane xSplit="4" ySplit="2" topLeftCell="E30" activePane="bottomRight" state="frozen"/>
      <selection pane="topRight" activeCell="E1" sqref="E1"/>
      <selection pane="bottomLeft" activeCell="A3" sqref="A3"/>
      <selection pane="bottomRight" activeCell="C212" sqref="C212"/>
    </sheetView>
  </sheetViews>
  <sheetFormatPr defaultRowHeight="15.75"/>
  <cols>
    <col min="1" max="1" width="15.85546875" style="13" customWidth="1"/>
    <col min="2" max="2" width="12.7109375" style="13" customWidth="1"/>
    <col min="3" max="3" width="23.140625" style="13" customWidth="1"/>
    <col min="4" max="4" width="7" style="1" customWidth="1"/>
    <col min="5" max="5" width="27.85546875" style="1" customWidth="1"/>
    <col min="6" max="9" width="0" style="1" hidden="1" customWidth="1"/>
    <col min="10" max="19" width="9.140625" style="1" hidden="1" customWidth="1"/>
    <col min="20" max="20" width="5.42578125" style="1" customWidth="1"/>
    <col min="21" max="21" width="6.85546875" style="1" customWidth="1"/>
    <col min="22" max="22" width="5.7109375" style="1" customWidth="1"/>
    <col min="23" max="23" width="4.7109375" style="1" customWidth="1"/>
    <col min="24" max="24" width="6.7109375" style="1" hidden="1" customWidth="1"/>
    <col min="25" max="25" width="1.140625" style="1" hidden="1" customWidth="1"/>
    <col min="26" max="26" width="6.140625" style="1" hidden="1" customWidth="1"/>
    <col min="27" max="27" width="9.140625" style="1" hidden="1" customWidth="1"/>
    <col min="28" max="28" width="6.7109375" style="1" hidden="1" customWidth="1"/>
    <col min="29" max="29" width="4.85546875" style="1" hidden="1" customWidth="1"/>
    <col min="30" max="31" width="9.140625" style="10"/>
    <col min="32" max="16384" width="9.140625" style="1"/>
  </cols>
  <sheetData>
    <row r="1" spans="1:31">
      <c r="B1" s="33"/>
    </row>
    <row r="2" spans="1:31" s="2" customFormat="1" ht="28.5" customHeight="1">
      <c r="A2" s="47" t="s">
        <v>42</v>
      </c>
      <c r="B2" s="48">
        <f>(B4+B29+B64+B96+B124+B177+B199+B239+B262+B305)/10</f>
        <v>52.523307509741151</v>
      </c>
      <c r="C2" s="12"/>
      <c r="D2" s="2" t="s">
        <v>6</v>
      </c>
      <c r="AD2" s="11" t="s">
        <v>23</v>
      </c>
      <c r="AE2" s="11" t="s">
        <v>3</v>
      </c>
    </row>
    <row r="3" spans="1:31">
      <c r="A3" s="13" t="s">
        <v>0</v>
      </c>
      <c r="B3" s="13" t="s">
        <v>1</v>
      </c>
      <c r="C3" s="13" t="s">
        <v>2</v>
      </c>
      <c r="D3" s="1">
        <v>100</v>
      </c>
      <c r="AD3" s="10">
        <v>62.4</v>
      </c>
      <c r="AE3" s="14">
        <f>AD3*D3/1000</f>
        <v>6.24</v>
      </c>
    </row>
    <row r="4" spans="1:31">
      <c r="A4" s="13" t="s">
        <v>200</v>
      </c>
      <c r="B4" s="16">
        <f>AE3+AE4+AE5+AE17+AE26</f>
        <v>35.591699999999996</v>
      </c>
      <c r="C4" s="13" t="s">
        <v>4</v>
      </c>
      <c r="D4" s="1">
        <v>20</v>
      </c>
      <c r="T4" s="1">
        <v>21</v>
      </c>
      <c r="AD4" s="10">
        <v>430.2</v>
      </c>
      <c r="AE4" s="14">
        <f>T4*AD4/1000</f>
        <v>9.0341999999999985</v>
      </c>
    </row>
    <row r="5" spans="1:31">
      <c r="C5" s="13" t="s">
        <v>5</v>
      </c>
      <c r="D5" s="94">
        <v>200</v>
      </c>
      <c r="E5" s="202" t="s">
        <v>9</v>
      </c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9" t="s">
        <v>10</v>
      </c>
      <c r="U5" s="209"/>
      <c r="V5" s="209"/>
      <c r="W5" s="209"/>
      <c r="X5" s="209"/>
      <c r="Y5" s="209"/>
      <c r="Z5" s="209"/>
      <c r="AA5" s="209"/>
      <c r="AB5" s="209"/>
      <c r="AC5" s="209"/>
      <c r="AE5" s="14">
        <f>SUM(AE8:AE13)</f>
        <v>11.218900000000001</v>
      </c>
    </row>
    <row r="6" spans="1:31">
      <c r="E6" s="203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5"/>
      <c r="T6" s="210">
        <v>1</v>
      </c>
      <c r="U6" s="210"/>
      <c r="V6" s="210"/>
      <c r="W6" s="210"/>
      <c r="X6" s="210">
        <v>100</v>
      </c>
      <c r="Y6" s="210"/>
      <c r="Z6" s="210"/>
      <c r="AA6" s="210"/>
      <c r="AB6" s="210"/>
      <c r="AC6" s="210"/>
    </row>
    <row r="7" spans="1:31"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8"/>
      <c r="T7" s="182" t="s">
        <v>11</v>
      </c>
      <c r="U7" s="182"/>
      <c r="V7" s="182" t="s">
        <v>12</v>
      </c>
      <c r="W7" s="182"/>
      <c r="X7" s="182" t="s">
        <v>13</v>
      </c>
      <c r="Y7" s="182"/>
      <c r="Z7" s="182"/>
      <c r="AA7" s="182"/>
      <c r="AB7" s="182" t="s">
        <v>14</v>
      </c>
      <c r="AC7" s="182"/>
    </row>
    <row r="8" spans="1:31">
      <c r="E8" s="183" t="s">
        <v>15</v>
      </c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4">
        <f>40*V15/200</f>
        <v>40</v>
      </c>
      <c r="U8" s="184"/>
      <c r="V8" s="184">
        <f t="shared" ref="V8:V13" si="0">T8</f>
        <v>40</v>
      </c>
      <c r="W8" s="184"/>
      <c r="X8" s="211">
        <v>4</v>
      </c>
      <c r="Y8" s="211"/>
      <c r="Z8" s="211"/>
      <c r="AA8" s="211"/>
      <c r="AB8" s="211">
        <v>4</v>
      </c>
      <c r="AC8" s="211"/>
      <c r="AD8" s="10">
        <v>37.5</v>
      </c>
      <c r="AE8" s="10">
        <f>AD8*T8/1000</f>
        <v>1.5</v>
      </c>
    </row>
    <row r="9" spans="1:31">
      <c r="E9" s="185" t="s">
        <v>16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7"/>
      <c r="T9" s="188">
        <f>140*V15/200</f>
        <v>140</v>
      </c>
      <c r="U9" s="189"/>
      <c r="V9" s="188">
        <f t="shared" si="0"/>
        <v>140</v>
      </c>
      <c r="W9" s="189"/>
      <c r="X9" s="212">
        <v>14</v>
      </c>
      <c r="Y9" s="213"/>
      <c r="Z9" s="213"/>
      <c r="AA9" s="214"/>
      <c r="AB9" s="212">
        <v>14</v>
      </c>
      <c r="AC9" s="214"/>
      <c r="AD9" s="10">
        <v>48.17</v>
      </c>
      <c r="AE9" s="10">
        <f t="shared" ref="AE9:AE13" si="1">AD9*T9/1000</f>
        <v>6.7438000000000002</v>
      </c>
    </row>
    <row r="10" spans="1:31">
      <c r="E10" s="71" t="s">
        <v>17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188">
        <f>60*V15/200</f>
        <v>60</v>
      </c>
      <c r="U10" s="189"/>
      <c r="V10" s="188">
        <f t="shared" si="0"/>
        <v>60</v>
      </c>
      <c r="W10" s="189"/>
      <c r="X10" s="212">
        <v>6</v>
      </c>
      <c r="Y10" s="213"/>
      <c r="Z10" s="213"/>
      <c r="AA10" s="214"/>
      <c r="AB10" s="212">
        <v>6</v>
      </c>
      <c r="AC10" s="214"/>
      <c r="AE10" s="10">
        <f t="shared" si="1"/>
        <v>0</v>
      </c>
    </row>
    <row r="11" spans="1:31">
      <c r="E11" s="185" t="s">
        <v>18</v>
      </c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7"/>
      <c r="T11" s="188">
        <f>5*V15/200</f>
        <v>5</v>
      </c>
      <c r="U11" s="189"/>
      <c r="V11" s="188">
        <f t="shared" si="0"/>
        <v>5</v>
      </c>
      <c r="W11" s="189"/>
      <c r="X11" s="212">
        <v>0.5</v>
      </c>
      <c r="Y11" s="213"/>
      <c r="Z11" s="213"/>
      <c r="AA11" s="214"/>
      <c r="AB11" s="212">
        <v>0.5</v>
      </c>
      <c r="AC11" s="214"/>
      <c r="AD11" s="10">
        <v>550</v>
      </c>
      <c r="AE11" s="10">
        <f t="shared" si="1"/>
        <v>2.75</v>
      </c>
    </row>
    <row r="12" spans="1:31">
      <c r="E12" s="185" t="s">
        <v>19</v>
      </c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7"/>
      <c r="T12" s="188">
        <f>0.3*V15/200</f>
        <v>0.3</v>
      </c>
      <c r="U12" s="189"/>
      <c r="V12" s="188">
        <f t="shared" si="0"/>
        <v>0.3</v>
      </c>
      <c r="W12" s="189"/>
      <c r="X12" s="212">
        <v>0.03</v>
      </c>
      <c r="Y12" s="213"/>
      <c r="Z12" s="213"/>
      <c r="AA12" s="214"/>
      <c r="AB12" s="212">
        <v>0.03</v>
      </c>
      <c r="AC12" s="214"/>
      <c r="AD12" s="10">
        <v>17</v>
      </c>
      <c r="AE12" s="10">
        <f t="shared" si="1"/>
        <v>5.0999999999999995E-3</v>
      </c>
    </row>
    <row r="13" spans="1:31">
      <c r="E13" s="71" t="s">
        <v>20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3"/>
      <c r="T13" s="188">
        <f>4*V15/200</f>
        <v>4</v>
      </c>
      <c r="U13" s="189"/>
      <c r="V13" s="188">
        <f t="shared" si="0"/>
        <v>4</v>
      </c>
      <c r="W13" s="189"/>
      <c r="X13" s="212">
        <v>0.04</v>
      </c>
      <c r="Y13" s="213"/>
      <c r="Z13" s="213"/>
      <c r="AA13" s="214"/>
      <c r="AB13" s="212">
        <v>0.04</v>
      </c>
      <c r="AC13" s="214"/>
      <c r="AD13" s="10">
        <v>55</v>
      </c>
      <c r="AE13" s="10">
        <f t="shared" si="1"/>
        <v>0.22</v>
      </c>
    </row>
    <row r="14" spans="1:31">
      <c r="E14" s="185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7"/>
      <c r="T14" s="188"/>
      <c r="U14" s="189"/>
      <c r="V14" s="188"/>
      <c r="W14" s="189"/>
      <c r="X14" s="188"/>
      <c r="Y14" s="215"/>
      <c r="Z14" s="215"/>
      <c r="AA14" s="189"/>
      <c r="AB14" s="188"/>
      <c r="AC14" s="189"/>
    </row>
    <row r="15" spans="1:31">
      <c r="A15" s="23"/>
      <c r="E15" s="190" t="s">
        <v>21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1" t="s">
        <v>22</v>
      </c>
      <c r="U15" s="191"/>
      <c r="V15" s="192">
        <v>200</v>
      </c>
      <c r="W15" s="192"/>
      <c r="X15" s="191" t="s">
        <v>22</v>
      </c>
      <c r="Y15" s="191"/>
      <c r="Z15" s="191"/>
      <c r="AA15" s="191"/>
      <c r="AB15" s="191" t="s">
        <v>22</v>
      </c>
      <c r="AC15" s="191"/>
    </row>
    <row r="17" spans="1:31">
      <c r="C17" s="13" t="s">
        <v>8</v>
      </c>
      <c r="D17" s="1">
        <v>200</v>
      </c>
      <c r="E17" s="225" t="s">
        <v>9</v>
      </c>
      <c r="F17" s="225"/>
      <c r="G17" s="225"/>
      <c r="H17" s="225"/>
      <c r="I17" s="225" t="s">
        <v>9</v>
      </c>
      <c r="J17" s="225"/>
      <c r="K17" s="225"/>
      <c r="L17" s="225"/>
      <c r="M17" s="225" t="s">
        <v>9</v>
      </c>
      <c r="N17" s="225"/>
      <c r="O17" s="225"/>
      <c r="P17" s="225"/>
      <c r="Q17" s="10"/>
      <c r="R17" s="10"/>
      <c r="S17" s="10"/>
      <c r="T17" s="221" t="s">
        <v>10</v>
      </c>
      <c r="U17" s="221"/>
      <c r="V17" s="221"/>
      <c r="W17" s="221"/>
      <c r="X17" s="221"/>
      <c r="Y17" s="221"/>
      <c r="Z17" s="221"/>
      <c r="AA17" s="221"/>
      <c r="AE17" s="15">
        <f>AE20+AE21+AE22+AE23</f>
        <v>7.277000000000001</v>
      </c>
    </row>
    <row r="18" spans="1:31">
      <c r="E18" s="226"/>
      <c r="F18" s="227"/>
      <c r="G18" s="227"/>
      <c r="H18" s="227"/>
      <c r="I18" s="226"/>
      <c r="J18" s="227"/>
      <c r="K18" s="227"/>
      <c r="L18" s="227"/>
      <c r="M18" s="226"/>
      <c r="N18" s="227"/>
      <c r="O18" s="227"/>
      <c r="P18" s="227"/>
      <c r="Q18" s="10"/>
      <c r="R18" s="10"/>
      <c r="S18" s="10"/>
      <c r="T18" s="222">
        <v>1</v>
      </c>
      <c r="U18" s="222"/>
      <c r="V18" s="222"/>
      <c r="W18" s="222"/>
      <c r="X18" s="222">
        <v>100</v>
      </c>
      <c r="Y18" s="222"/>
      <c r="Z18" s="222"/>
      <c r="AA18" s="222"/>
    </row>
    <row r="19" spans="1:31">
      <c r="E19" s="228"/>
      <c r="F19" s="229"/>
      <c r="G19" s="229"/>
      <c r="H19" s="229"/>
      <c r="I19" s="228"/>
      <c r="J19" s="229"/>
      <c r="K19" s="229"/>
      <c r="L19" s="229"/>
      <c r="M19" s="228"/>
      <c r="N19" s="229"/>
      <c r="O19" s="229"/>
      <c r="P19" s="229"/>
      <c r="Q19" s="10"/>
      <c r="R19" s="10"/>
      <c r="S19" s="10"/>
      <c r="T19" s="223" t="s">
        <v>11</v>
      </c>
      <c r="U19" s="223"/>
      <c r="V19" s="223" t="s">
        <v>12</v>
      </c>
      <c r="W19" s="223"/>
      <c r="X19" s="223" t="s">
        <v>13</v>
      </c>
      <c r="Y19" s="223"/>
      <c r="Z19" s="223" t="s">
        <v>14</v>
      </c>
      <c r="AA19" s="223"/>
    </row>
    <row r="20" spans="1:31">
      <c r="E20" s="230" t="s">
        <v>24</v>
      </c>
      <c r="F20" s="230"/>
      <c r="G20" s="230"/>
      <c r="H20" s="230"/>
      <c r="I20" s="230" t="s">
        <v>24</v>
      </c>
      <c r="J20" s="230"/>
      <c r="K20" s="230"/>
      <c r="L20" s="230"/>
      <c r="M20" s="230" t="s">
        <v>24</v>
      </c>
      <c r="N20" s="230"/>
      <c r="O20" s="230"/>
      <c r="P20" s="230"/>
      <c r="Q20" s="10"/>
      <c r="R20" s="10"/>
      <c r="S20" s="10"/>
      <c r="T20" s="218">
        <f>4*V24/200</f>
        <v>4</v>
      </c>
      <c r="U20" s="218"/>
      <c r="V20" s="218">
        <f>T20</f>
        <v>4</v>
      </c>
      <c r="W20" s="218"/>
      <c r="X20" s="218">
        <f>T20*0.1</f>
        <v>0.4</v>
      </c>
      <c r="Y20" s="218"/>
      <c r="Z20" s="218">
        <f>V20*0.1</f>
        <v>0.4</v>
      </c>
      <c r="AA20" s="218"/>
      <c r="AD20" s="10">
        <v>340</v>
      </c>
      <c r="AE20" s="10">
        <f>T20*AD20/1000</f>
        <v>1.36</v>
      </c>
    </row>
    <row r="21" spans="1:31">
      <c r="E21" s="216" t="s">
        <v>16</v>
      </c>
      <c r="F21" s="217"/>
      <c r="G21" s="217"/>
      <c r="H21" s="217"/>
      <c r="I21" s="216" t="s">
        <v>16</v>
      </c>
      <c r="J21" s="217"/>
      <c r="K21" s="217"/>
      <c r="L21" s="217"/>
      <c r="M21" s="216" t="s">
        <v>16</v>
      </c>
      <c r="N21" s="217"/>
      <c r="O21" s="217"/>
      <c r="P21" s="217"/>
      <c r="Q21" s="10"/>
      <c r="R21" s="10"/>
      <c r="S21" s="10"/>
      <c r="T21" s="219">
        <f>100*V24/200</f>
        <v>100</v>
      </c>
      <c r="U21" s="220"/>
      <c r="V21" s="218">
        <f>T21</f>
        <v>100</v>
      </c>
      <c r="W21" s="218"/>
      <c r="X21" s="218">
        <f>T21*0.1</f>
        <v>10</v>
      </c>
      <c r="Y21" s="218"/>
      <c r="Z21" s="218">
        <f>V21*0.1</f>
        <v>10</v>
      </c>
      <c r="AA21" s="218"/>
      <c r="AD21" s="10">
        <v>48.17</v>
      </c>
      <c r="AE21" s="10">
        <f t="shared" ref="AE21:AE23" si="2">T21*AD21/1000</f>
        <v>4.8170000000000002</v>
      </c>
    </row>
    <row r="22" spans="1:31">
      <c r="E22" s="216" t="s">
        <v>17</v>
      </c>
      <c r="F22" s="217"/>
      <c r="G22" s="217"/>
      <c r="H22" s="217"/>
      <c r="I22" s="216" t="s">
        <v>17</v>
      </c>
      <c r="J22" s="217"/>
      <c r="K22" s="217"/>
      <c r="L22" s="217"/>
      <c r="M22" s="216" t="s">
        <v>17</v>
      </c>
      <c r="N22" s="217"/>
      <c r="O22" s="217"/>
      <c r="P22" s="217"/>
      <c r="Q22" s="10"/>
      <c r="R22" s="10"/>
      <c r="S22" s="10"/>
      <c r="T22" s="219">
        <f>110*V24/200</f>
        <v>110</v>
      </c>
      <c r="U22" s="220"/>
      <c r="V22" s="218">
        <f>T22</f>
        <v>110</v>
      </c>
      <c r="W22" s="218"/>
      <c r="X22" s="218">
        <f>T22*0.1</f>
        <v>11</v>
      </c>
      <c r="Y22" s="218"/>
      <c r="Z22" s="218">
        <f>V22*0.1</f>
        <v>11</v>
      </c>
      <c r="AA22" s="218"/>
      <c r="AE22" s="10">
        <f t="shared" si="2"/>
        <v>0</v>
      </c>
    </row>
    <row r="23" spans="1:31">
      <c r="E23" s="216" t="s">
        <v>25</v>
      </c>
      <c r="F23" s="217"/>
      <c r="G23" s="217"/>
      <c r="H23" s="217"/>
      <c r="I23" s="216" t="s">
        <v>25</v>
      </c>
      <c r="J23" s="217"/>
      <c r="K23" s="217"/>
      <c r="L23" s="217"/>
      <c r="M23" s="216" t="s">
        <v>25</v>
      </c>
      <c r="N23" s="217"/>
      <c r="O23" s="217"/>
      <c r="P23" s="217"/>
      <c r="Q23" s="10"/>
      <c r="R23" s="10"/>
      <c r="S23" s="10"/>
      <c r="T23" s="219">
        <f>20*V24/200</f>
        <v>20</v>
      </c>
      <c r="U23" s="220"/>
      <c r="V23" s="218">
        <f>T23</f>
        <v>20</v>
      </c>
      <c r="W23" s="218"/>
      <c r="X23" s="218">
        <f>T23*0.1</f>
        <v>2</v>
      </c>
      <c r="Y23" s="218"/>
      <c r="Z23" s="218">
        <f>V23*0.1</f>
        <v>2</v>
      </c>
      <c r="AA23" s="218"/>
      <c r="AD23" s="10">
        <v>55</v>
      </c>
      <c r="AE23" s="10">
        <f t="shared" si="2"/>
        <v>1.1000000000000001</v>
      </c>
    </row>
    <row r="24" spans="1:31">
      <c r="E24" s="224" t="s">
        <v>21</v>
      </c>
      <c r="F24" s="224"/>
      <c r="G24" s="224"/>
      <c r="H24" s="224"/>
      <c r="I24" s="224" t="s">
        <v>21</v>
      </c>
      <c r="J24" s="224"/>
      <c r="K24" s="224"/>
      <c r="L24" s="224"/>
      <c r="M24" s="224" t="s">
        <v>21</v>
      </c>
      <c r="N24" s="224"/>
      <c r="O24" s="224"/>
      <c r="P24" s="224"/>
      <c r="Q24" s="10"/>
      <c r="R24" s="10"/>
      <c r="S24" s="10"/>
      <c r="T24" s="231" t="s">
        <v>22</v>
      </c>
      <c r="U24" s="231"/>
      <c r="V24" s="232">
        <v>200</v>
      </c>
      <c r="W24" s="232"/>
      <c r="X24" s="231" t="s">
        <v>22</v>
      </c>
      <c r="Y24" s="231"/>
      <c r="Z24" s="231">
        <f>V24*0.1</f>
        <v>20</v>
      </c>
      <c r="AA24" s="231"/>
    </row>
    <row r="26" spans="1:31">
      <c r="C26" s="13" t="s">
        <v>26</v>
      </c>
      <c r="D26" s="1">
        <v>40</v>
      </c>
      <c r="AD26" s="10">
        <v>45.54</v>
      </c>
      <c r="AE26" s="15">
        <f>AD26*D26/1000</f>
        <v>1.8215999999999999</v>
      </c>
    </row>
    <row r="28" spans="1:31">
      <c r="A28" s="13" t="s">
        <v>27</v>
      </c>
      <c r="B28" s="13" t="s">
        <v>1</v>
      </c>
      <c r="C28" s="25" t="s">
        <v>28</v>
      </c>
      <c r="D28" s="74">
        <v>40</v>
      </c>
      <c r="AE28" s="18">
        <f>AE29+AE30+AE31+AE32</f>
        <v>1.9912000000000001</v>
      </c>
    </row>
    <row r="29" spans="1:31">
      <c r="A29" s="13" t="s">
        <v>199</v>
      </c>
      <c r="B29" s="24">
        <f>AE28+AE34+AE38+AE48+AE54+AE61</f>
        <v>49.717722222222214</v>
      </c>
      <c r="C29" s="25"/>
      <c r="D29" s="74"/>
      <c r="E29" s="237" t="s">
        <v>31</v>
      </c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9"/>
      <c r="T29" s="233">
        <v>54</v>
      </c>
      <c r="U29" s="234"/>
      <c r="AD29" s="10">
        <v>30</v>
      </c>
      <c r="AE29" s="10">
        <f>AD29*T29/1000</f>
        <v>1.62</v>
      </c>
    </row>
    <row r="30" spans="1:31">
      <c r="C30" s="25"/>
      <c r="D30" s="74"/>
      <c r="E30" s="237" t="s">
        <v>32</v>
      </c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9"/>
      <c r="T30" s="233">
        <v>2.5</v>
      </c>
      <c r="U30" s="234"/>
      <c r="AD30" s="10">
        <v>140</v>
      </c>
      <c r="AE30" s="10">
        <f t="shared" ref="AE30:AE32" si="3">AD30*T30/1000</f>
        <v>0.35</v>
      </c>
    </row>
    <row r="31" spans="1:31">
      <c r="C31" s="25"/>
      <c r="D31" s="74"/>
      <c r="E31" s="237" t="s">
        <v>19</v>
      </c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9"/>
      <c r="T31" s="233">
        <v>0.6</v>
      </c>
      <c r="U31" s="234"/>
      <c r="AD31" s="10">
        <v>17</v>
      </c>
      <c r="AE31" s="10">
        <f t="shared" si="3"/>
        <v>1.0199999999999999E-2</v>
      </c>
    </row>
    <row r="32" spans="1:31">
      <c r="C32" s="25"/>
      <c r="D32" s="74"/>
      <c r="E32" s="237" t="s">
        <v>20</v>
      </c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9"/>
      <c r="T32" s="235">
        <v>0.2</v>
      </c>
      <c r="U32" s="236"/>
      <c r="AD32" s="10">
        <v>55</v>
      </c>
      <c r="AE32" s="10">
        <f t="shared" si="3"/>
        <v>1.0999999999999999E-2</v>
      </c>
    </row>
    <row r="33" spans="3:31" s="1" customFormat="1">
      <c r="C33" s="25"/>
      <c r="D33" s="7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20"/>
      <c r="AD33" s="10"/>
      <c r="AE33" s="10"/>
    </row>
    <row r="34" spans="3:31" s="1" customFormat="1">
      <c r="C34" s="25" t="s">
        <v>189</v>
      </c>
      <c r="D34" s="74">
        <v>20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20">
        <v>20</v>
      </c>
      <c r="AD34" s="10">
        <v>140</v>
      </c>
      <c r="AE34" s="75">
        <f>U34*AD34/1000</f>
        <v>2.8</v>
      </c>
    </row>
    <row r="35" spans="3:31" s="1" customFormat="1">
      <c r="C35" s="1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20"/>
      <c r="AD35" s="10"/>
      <c r="AE35" s="10"/>
    </row>
    <row r="36" spans="3:31" s="1" customFormat="1">
      <c r="C36" s="103" t="s">
        <v>30</v>
      </c>
      <c r="D36" s="104">
        <v>40</v>
      </c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>
        <v>42</v>
      </c>
      <c r="U36" s="104"/>
      <c r="V36" s="104"/>
      <c r="W36" s="104"/>
      <c r="X36" s="104"/>
      <c r="Y36" s="104"/>
      <c r="Z36" s="104"/>
      <c r="AA36" s="104"/>
      <c r="AB36" s="104"/>
      <c r="AC36" s="104"/>
      <c r="AD36" s="105">
        <v>150</v>
      </c>
      <c r="AE36" s="105">
        <f>AD36*T36/1000</f>
        <v>6.3</v>
      </c>
    </row>
    <row r="37" spans="3:31" s="1" customFormat="1">
      <c r="C37" s="13"/>
      <c r="AD37" s="10"/>
      <c r="AE37" s="21"/>
    </row>
    <row r="38" spans="3:31" s="1" customFormat="1">
      <c r="C38" s="13" t="s">
        <v>181</v>
      </c>
      <c r="D38" s="1">
        <v>100</v>
      </c>
      <c r="T38" s="222">
        <v>1</v>
      </c>
      <c r="U38" s="222"/>
      <c r="V38" s="222"/>
      <c r="W38" s="222"/>
      <c r="AD38" s="10"/>
      <c r="AE38" s="18">
        <f>SUM(AE40:AE45)</f>
        <v>30.622522222222223</v>
      </c>
    </row>
    <row r="39" spans="3:31" s="1" customFormat="1">
      <c r="C39" s="13"/>
      <c r="T39" s="223" t="s">
        <v>11</v>
      </c>
      <c r="U39" s="223"/>
      <c r="V39" s="223" t="s">
        <v>12</v>
      </c>
      <c r="W39" s="223"/>
      <c r="AD39" s="10"/>
      <c r="AE39" s="10"/>
    </row>
    <row r="40" spans="3:31" s="1" customFormat="1">
      <c r="C40" s="13"/>
      <c r="E40" s="183" t="s">
        <v>182</v>
      </c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4">
        <f>87*V46/90</f>
        <v>96.666666666666671</v>
      </c>
      <c r="U40" s="184"/>
      <c r="V40" s="184">
        <f>77*V46/90</f>
        <v>85.555555555555557</v>
      </c>
      <c r="W40" s="184"/>
      <c r="AD40" s="10">
        <v>270</v>
      </c>
      <c r="AE40" s="10">
        <f>T40*AD40/1000</f>
        <v>26.1</v>
      </c>
    </row>
    <row r="41" spans="3:31" s="1" customFormat="1">
      <c r="C41" s="13"/>
      <c r="E41" s="185" t="s">
        <v>35</v>
      </c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7"/>
      <c r="T41" s="188">
        <f>14.5*V46/90</f>
        <v>16.111111111111111</v>
      </c>
      <c r="U41" s="189"/>
      <c r="V41" s="188">
        <f>T41</f>
        <v>16.111111111111111</v>
      </c>
      <c r="W41" s="189"/>
      <c r="AD41" s="10">
        <v>45.54</v>
      </c>
      <c r="AE41" s="10">
        <f t="shared" ref="AE41:AE45" si="4">T41*AD41/1000</f>
        <v>0.73369999999999991</v>
      </c>
    </row>
    <row r="42" spans="3:31" s="1" customFormat="1">
      <c r="C42" s="13"/>
      <c r="E42" s="185" t="s">
        <v>16</v>
      </c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7"/>
      <c r="T42" s="188">
        <f>22*V46/90</f>
        <v>24.444444444444443</v>
      </c>
      <c r="U42" s="189"/>
      <c r="V42" s="188">
        <f>T42</f>
        <v>24.444444444444443</v>
      </c>
      <c r="W42" s="189"/>
      <c r="AD42" s="10">
        <v>48.17</v>
      </c>
      <c r="AE42" s="10">
        <f t="shared" si="4"/>
        <v>1.1774888888888888</v>
      </c>
    </row>
    <row r="43" spans="3:31" s="1" customFormat="1">
      <c r="C43" s="13"/>
      <c r="E43" s="185" t="s">
        <v>36</v>
      </c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7"/>
      <c r="T43" s="188">
        <f>10*V46/90</f>
        <v>11.111111111111111</v>
      </c>
      <c r="U43" s="189"/>
      <c r="V43" s="188">
        <f>T43</f>
        <v>11.111111111111111</v>
      </c>
      <c r="W43" s="189"/>
      <c r="AD43" s="10">
        <v>150</v>
      </c>
      <c r="AE43" s="10">
        <f t="shared" si="4"/>
        <v>1.6666666666666665</v>
      </c>
    </row>
    <row r="44" spans="3:31" s="1" customFormat="1">
      <c r="C44" s="13"/>
      <c r="E44" s="185" t="s">
        <v>32</v>
      </c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7"/>
      <c r="T44" s="285">
        <f>6*V46/90</f>
        <v>6.666666666666667</v>
      </c>
      <c r="U44" s="286"/>
      <c r="V44" s="188">
        <f>T44</f>
        <v>6.666666666666667</v>
      </c>
      <c r="W44" s="189"/>
      <c r="AD44" s="10">
        <v>140</v>
      </c>
      <c r="AE44" s="10">
        <f t="shared" si="4"/>
        <v>0.93333333333333335</v>
      </c>
    </row>
    <row r="45" spans="3:31" s="1" customFormat="1">
      <c r="C45" s="13"/>
      <c r="E45" s="183" t="s">
        <v>19</v>
      </c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4">
        <f>0.6*V46/90</f>
        <v>0.66666666666666663</v>
      </c>
      <c r="U45" s="184"/>
      <c r="V45" s="184">
        <f>T45</f>
        <v>0.66666666666666663</v>
      </c>
      <c r="W45" s="184"/>
      <c r="AD45" s="10">
        <v>17</v>
      </c>
      <c r="AE45" s="10">
        <f t="shared" si="4"/>
        <v>1.1333333333333332E-2</v>
      </c>
    </row>
    <row r="46" spans="3:31" s="1" customFormat="1">
      <c r="C46" s="13"/>
      <c r="E46" s="190" t="s">
        <v>21</v>
      </c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1" t="s">
        <v>22</v>
      </c>
      <c r="U46" s="191"/>
      <c r="V46" s="192">
        <v>100</v>
      </c>
      <c r="W46" s="192"/>
      <c r="AD46" s="10"/>
      <c r="AE46" s="10"/>
    </row>
    <row r="48" spans="3:31" s="1" customFormat="1">
      <c r="C48" s="13" t="s">
        <v>37</v>
      </c>
      <c r="D48" s="1">
        <v>180</v>
      </c>
      <c r="T48" s="182" t="s">
        <v>11</v>
      </c>
      <c r="U48" s="182"/>
      <c r="V48" s="182" t="s">
        <v>12</v>
      </c>
      <c r="W48" s="182"/>
      <c r="AD48" s="10"/>
      <c r="AE48" s="18">
        <f>AE49+AE50+AE51</f>
        <v>5.3204000000000002</v>
      </c>
    </row>
    <row r="49" spans="1:31">
      <c r="E49" s="256" t="s">
        <v>38</v>
      </c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7">
        <v>45</v>
      </c>
      <c r="U49" s="257"/>
      <c r="V49" s="257">
        <v>45</v>
      </c>
      <c r="W49" s="257"/>
      <c r="AD49" s="10">
        <v>75</v>
      </c>
      <c r="AE49" s="10">
        <f>AD49*T49/1000</f>
        <v>3.375</v>
      </c>
    </row>
    <row r="50" spans="1:31">
      <c r="E50" s="300" t="s">
        <v>18</v>
      </c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2"/>
      <c r="T50" s="233">
        <v>3.5</v>
      </c>
      <c r="U50" s="234"/>
      <c r="V50" s="233">
        <v>3.5</v>
      </c>
      <c r="W50" s="234"/>
      <c r="AD50" s="10">
        <v>550</v>
      </c>
      <c r="AE50" s="10">
        <f t="shared" ref="AE50:AE51" si="5">AD50*T50/1000</f>
        <v>1.925</v>
      </c>
    </row>
    <row r="51" spans="1:31">
      <c r="E51" s="256" t="s">
        <v>19</v>
      </c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7">
        <v>1.2</v>
      </c>
      <c r="U51" s="257"/>
      <c r="V51" s="257">
        <v>1.2</v>
      </c>
      <c r="W51" s="257"/>
      <c r="AD51" s="10">
        <v>17</v>
      </c>
      <c r="AE51" s="10">
        <f t="shared" si="5"/>
        <v>2.0399999999999998E-2</v>
      </c>
    </row>
    <row r="52" spans="1:31">
      <c r="E52" s="289" t="s">
        <v>21</v>
      </c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90" t="s">
        <v>22</v>
      </c>
      <c r="U52" s="290"/>
      <c r="V52" s="291">
        <v>180</v>
      </c>
      <c r="W52" s="291"/>
    </row>
    <row r="54" spans="1:31">
      <c r="C54" s="13" t="s">
        <v>39</v>
      </c>
      <c r="D54" s="1">
        <v>200</v>
      </c>
      <c r="T54" s="182" t="s">
        <v>11</v>
      </c>
      <c r="U54" s="182"/>
      <c r="V54" s="182" t="s">
        <v>12</v>
      </c>
      <c r="W54" s="182"/>
      <c r="AE54" s="18">
        <f>SUM(AE55:AE58)</f>
        <v>7.1619999999999999</v>
      </c>
    </row>
    <row r="55" spans="1:31">
      <c r="E55" s="183" t="s">
        <v>40</v>
      </c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4">
        <v>4</v>
      </c>
      <c r="U55" s="184"/>
      <c r="V55" s="184">
        <v>4</v>
      </c>
      <c r="W55" s="184"/>
      <c r="AD55" s="10">
        <v>380</v>
      </c>
      <c r="AE55" s="10">
        <f>AD55*T55/1000</f>
        <v>1.52</v>
      </c>
    </row>
    <row r="56" spans="1:31">
      <c r="E56" s="185" t="s">
        <v>20</v>
      </c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7"/>
      <c r="T56" s="188">
        <v>15</v>
      </c>
      <c r="U56" s="189"/>
      <c r="V56" s="188">
        <v>15</v>
      </c>
      <c r="W56" s="189"/>
      <c r="AD56" s="10">
        <v>55</v>
      </c>
      <c r="AE56" s="10">
        <f t="shared" ref="AE56:AE58" si="6">AD56*T56/1000</f>
        <v>0.82499999999999996</v>
      </c>
    </row>
    <row r="57" spans="1:31">
      <c r="E57" s="185" t="s">
        <v>41</v>
      </c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7"/>
      <c r="T57" s="188">
        <v>100</v>
      </c>
      <c r="U57" s="189"/>
      <c r="V57" s="188">
        <v>100</v>
      </c>
      <c r="W57" s="189"/>
      <c r="AD57" s="10">
        <v>48.17</v>
      </c>
      <c r="AE57" s="10">
        <f t="shared" si="6"/>
        <v>4.8170000000000002</v>
      </c>
    </row>
    <row r="58" spans="1:31">
      <c r="E58" s="185" t="s">
        <v>17</v>
      </c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7"/>
      <c r="T58" s="188">
        <v>81</v>
      </c>
      <c r="U58" s="189"/>
      <c r="V58" s="188">
        <v>81</v>
      </c>
      <c r="W58" s="189"/>
      <c r="AD58" s="10">
        <v>0</v>
      </c>
      <c r="AE58" s="10">
        <f t="shared" si="6"/>
        <v>0</v>
      </c>
    </row>
    <row r="59" spans="1:31">
      <c r="E59" s="190" t="s">
        <v>21</v>
      </c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1" t="s">
        <v>22</v>
      </c>
      <c r="U59" s="191"/>
      <c r="V59" s="192">
        <v>200</v>
      </c>
      <c r="W59" s="192"/>
    </row>
    <row r="61" spans="1:31">
      <c r="C61" s="13" t="s">
        <v>26</v>
      </c>
      <c r="D61" s="1">
        <v>40</v>
      </c>
      <c r="AD61" s="10">
        <v>45.54</v>
      </c>
      <c r="AE61" s="18">
        <f>AD61*D61/1000</f>
        <v>1.8215999999999999</v>
      </c>
    </row>
    <row r="63" spans="1:31">
      <c r="A63" s="13" t="s">
        <v>43</v>
      </c>
      <c r="B63" s="13" t="s">
        <v>1</v>
      </c>
    </row>
    <row r="64" spans="1:31">
      <c r="A64" s="13" t="s">
        <v>201</v>
      </c>
      <c r="B64" s="25">
        <f>AE64+AE70+AE74+AE88+AE93</f>
        <v>45.875779999999999</v>
      </c>
      <c r="C64" s="13" t="s">
        <v>44</v>
      </c>
      <c r="D64" s="1">
        <v>100</v>
      </c>
      <c r="T64" s="182" t="s">
        <v>11</v>
      </c>
      <c r="U64" s="182"/>
      <c r="V64" s="182" t="s">
        <v>12</v>
      </c>
      <c r="W64" s="182"/>
      <c r="AE64" s="26">
        <f>AE65+AE66+AE67</f>
        <v>5.0966800000000001</v>
      </c>
    </row>
    <row r="65" spans="3:33" s="1" customFormat="1">
      <c r="C65" s="13"/>
      <c r="E65" s="256" t="s">
        <v>45</v>
      </c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7">
        <v>93.8</v>
      </c>
      <c r="U65" s="257"/>
      <c r="V65" s="257">
        <v>75</v>
      </c>
      <c r="W65" s="257"/>
      <c r="AD65" s="10">
        <v>30</v>
      </c>
      <c r="AE65" s="10">
        <f>T65*AD65/1000</f>
        <v>2.8140000000000001</v>
      </c>
    </row>
    <row r="66" spans="3:33" s="1" customFormat="1">
      <c r="C66" s="13"/>
      <c r="E66" s="256" t="s">
        <v>46</v>
      </c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7">
        <v>35.700000000000003</v>
      </c>
      <c r="U66" s="257"/>
      <c r="V66" s="257">
        <v>25</v>
      </c>
      <c r="W66" s="257"/>
      <c r="AD66" s="10">
        <v>62.4</v>
      </c>
      <c r="AE66" s="10">
        <f t="shared" ref="AE66:AE67" si="7">T66*AD66/1000</f>
        <v>2.2276800000000003</v>
      </c>
    </row>
    <row r="67" spans="3:33" s="1" customFormat="1">
      <c r="C67" s="13"/>
      <c r="E67" s="256" t="s">
        <v>20</v>
      </c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7">
        <v>1</v>
      </c>
      <c r="U67" s="257"/>
      <c r="V67" s="257">
        <v>1</v>
      </c>
      <c r="W67" s="257"/>
      <c r="AD67" s="10">
        <v>55</v>
      </c>
      <c r="AE67" s="10">
        <f t="shared" si="7"/>
        <v>5.5E-2</v>
      </c>
    </row>
    <row r="68" spans="3:33" s="1" customFormat="1">
      <c r="C68" s="13"/>
      <c r="E68" s="289" t="s">
        <v>21</v>
      </c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90" t="s">
        <v>22</v>
      </c>
      <c r="U68" s="290"/>
      <c r="V68" s="291">
        <v>100</v>
      </c>
      <c r="W68" s="291"/>
      <c r="AD68" s="10"/>
      <c r="AE68" s="10"/>
    </row>
    <row r="70" spans="3:33" s="1" customFormat="1">
      <c r="C70" s="13" t="s">
        <v>47</v>
      </c>
      <c r="D70" s="1">
        <v>20</v>
      </c>
      <c r="T70" s="182" t="s">
        <v>11</v>
      </c>
      <c r="U70" s="182"/>
      <c r="V70" s="182" t="s">
        <v>12</v>
      </c>
      <c r="W70" s="182"/>
      <c r="AD70" s="10"/>
      <c r="AE70" s="26">
        <f>AE71</f>
        <v>1.6722000000000001</v>
      </c>
      <c r="AG70" s="1">
        <f>AE70+AE74</f>
        <v>37.488500000000002</v>
      </c>
    </row>
    <row r="71" spans="3:33" s="1" customFormat="1">
      <c r="C71" s="13"/>
      <c r="E71" s="183" t="s">
        <v>195</v>
      </c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4">
        <v>20</v>
      </c>
      <c r="U71" s="184"/>
      <c r="V71" s="184">
        <v>20</v>
      </c>
      <c r="W71" s="184"/>
      <c r="AD71" s="10">
        <v>83.61</v>
      </c>
      <c r="AE71" s="10">
        <f>T71*AD71/1000</f>
        <v>1.6722000000000001</v>
      </c>
    </row>
    <row r="72" spans="3:33" s="1" customFormat="1">
      <c r="C72" s="13"/>
      <c r="T72" s="191" t="s">
        <v>22</v>
      </c>
      <c r="U72" s="191"/>
      <c r="V72" s="192">
        <v>20</v>
      </c>
      <c r="W72" s="192"/>
      <c r="AD72" s="10"/>
      <c r="AE72" s="10"/>
    </row>
    <row r="74" spans="3:33" s="1" customFormat="1">
      <c r="C74" s="13" t="s">
        <v>49</v>
      </c>
      <c r="D74" s="1">
        <v>200</v>
      </c>
      <c r="T74" s="182" t="s">
        <v>11</v>
      </c>
      <c r="U74" s="182"/>
      <c r="V74" s="182" t="s">
        <v>12</v>
      </c>
      <c r="W74" s="182"/>
      <c r="AD74" s="10"/>
      <c r="AE74" s="26">
        <f>AE75+AE76+AE77+AE78+AE79+AE80+AE81+AE82+AE83+AE84+AE85</f>
        <v>35.816299999999998</v>
      </c>
    </row>
    <row r="75" spans="3:33" s="1" customFormat="1">
      <c r="C75" s="13"/>
      <c r="E75" s="256" t="s">
        <v>50</v>
      </c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7">
        <v>120</v>
      </c>
      <c r="U75" s="257"/>
      <c r="V75" s="257">
        <v>120</v>
      </c>
      <c r="W75" s="257"/>
      <c r="AD75" s="10">
        <v>239.45</v>
      </c>
      <c r="AE75" s="10">
        <f>AD75*T75/1000</f>
        <v>28.734000000000002</v>
      </c>
    </row>
    <row r="76" spans="3:33" s="1" customFormat="1">
      <c r="C76" s="13"/>
      <c r="E76" s="237" t="s">
        <v>51</v>
      </c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9"/>
      <c r="T76" s="233">
        <v>24</v>
      </c>
      <c r="U76" s="234"/>
      <c r="V76" s="257">
        <v>24</v>
      </c>
      <c r="W76" s="257"/>
      <c r="AD76" s="10">
        <v>40</v>
      </c>
      <c r="AE76" s="10">
        <f t="shared" ref="AE76:AE85" si="8">AD76*T76/1000</f>
        <v>0.96</v>
      </c>
    </row>
    <row r="77" spans="3:33" s="1" customFormat="1">
      <c r="C77" s="13"/>
      <c r="E77" s="237" t="s">
        <v>16</v>
      </c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9"/>
      <c r="T77" s="233">
        <v>40</v>
      </c>
      <c r="U77" s="234"/>
      <c r="V77" s="257">
        <v>40</v>
      </c>
      <c r="W77" s="257"/>
      <c r="AD77" s="10">
        <v>48.17</v>
      </c>
      <c r="AE77" s="10">
        <f t="shared" si="8"/>
        <v>1.9268000000000003</v>
      </c>
    </row>
    <row r="78" spans="3:33" s="1" customFormat="1">
      <c r="C78" s="13"/>
      <c r="E78" s="237" t="s">
        <v>52</v>
      </c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9"/>
      <c r="T78" s="233">
        <v>10</v>
      </c>
      <c r="U78" s="234"/>
      <c r="V78" s="257">
        <v>10</v>
      </c>
      <c r="W78" s="257"/>
      <c r="X78" s="30"/>
      <c r="Y78" s="30"/>
      <c r="Z78" s="30"/>
      <c r="AA78" s="30"/>
      <c r="AB78" s="30"/>
      <c r="AC78" s="30"/>
      <c r="AD78" s="31">
        <v>140</v>
      </c>
      <c r="AE78" s="10">
        <f>AD78*T78/1000</f>
        <v>1.4</v>
      </c>
    </row>
    <row r="79" spans="3:33" s="1" customFormat="1">
      <c r="C79" s="13"/>
      <c r="E79" s="237" t="s">
        <v>20</v>
      </c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9"/>
      <c r="T79" s="235">
        <v>12</v>
      </c>
      <c r="U79" s="236"/>
      <c r="V79" s="257">
        <v>12</v>
      </c>
      <c r="W79" s="257"/>
      <c r="AD79" s="10">
        <v>55</v>
      </c>
      <c r="AE79" s="10">
        <f t="shared" si="8"/>
        <v>0.66</v>
      </c>
    </row>
    <row r="80" spans="3:33" s="1" customFormat="1">
      <c r="C80" s="13"/>
      <c r="E80" s="237" t="s">
        <v>18</v>
      </c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9"/>
      <c r="T80" s="233">
        <v>2</v>
      </c>
      <c r="U80" s="234"/>
      <c r="V80" s="257">
        <v>2</v>
      </c>
      <c r="W80" s="257"/>
      <c r="AD80" s="10">
        <v>550</v>
      </c>
      <c r="AE80" s="10">
        <f t="shared" si="8"/>
        <v>1.1000000000000001</v>
      </c>
    </row>
    <row r="81" spans="1:31">
      <c r="E81" s="237" t="s">
        <v>53</v>
      </c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9"/>
      <c r="T81" s="292">
        <v>0.03</v>
      </c>
      <c r="U81" s="293"/>
      <c r="V81" s="257">
        <v>0.03</v>
      </c>
      <c r="W81" s="257"/>
      <c r="AD81" s="10">
        <v>1200</v>
      </c>
      <c r="AE81" s="10">
        <f t="shared" si="8"/>
        <v>3.5999999999999997E-2</v>
      </c>
    </row>
    <row r="82" spans="1:31">
      <c r="E82" s="237" t="s">
        <v>54</v>
      </c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9"/>
      <c r="T82" s="233">
        <v>4</v>
      </c>
      <c r="U82" s="234"/>
      <c r="V82" s="257">
        <v>4</v>
      </c>
      <c r="W82" s="257"/>
      <c r="AD82" s="10">
        <v>173.6</v>
      </c>
      <c r="AE82" s="10">
        <f t="shared" si="8"/>
        <v>0.69440000000000002</v>
      </c>
    </row>
    <row r="83" spans="1:31">
      <c r="E83" s="237" t="s">
        <v>55</v>
      </c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9"/>
      <c r="T83" s="233">
        <v>2</v>
      </c>
      <c r="U83" s="234"/>
      <c r="V83" s="257">
        <v>2</v>
      </c>
      <c r="W83" s="257"/>
      <c r="AD83" s="10">
        <v>150</v>
      </c>
      <c r="AE83" s="10">
        <f t="shared" si="8"/>
        <v>0.3</v>
      </c>
    </row>
    <row r="84" spans="1:31">
      <c r="E84" s="237" t="s">
        <v>56</v>
      </c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9"/>
      <c r="T84" s="233">
        <v>3</v>
      </c>
      <c r="U84" s="234"/>
      <c r="V84" s="257">
        <v>3</v>
      </c>
      <c r="W84" s="257"/>
      <c r="AD84" s="32"/>
      <c r="AE84" s="10">
        <f t="shared" si="8"/>
        <v>0</v>
      </c>
    </row>
    <row r="85" spans="1:31">
      <c r="E85" s="256" t="s">
        <v>19</v>
      </c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7">
        <v>0.3</v>
      </c>
      <c r="U85" s="257"/>
      <c r="V85" s="257">
        <v>0.3</v>
      </c>
      <c r="W85" s="257"/>
      <c r="AD85" s="10">
        <v>17</v>
      </c>
      <c r="AE85" s="10">
        <f t="shared" si="8"/>
        <v>5.0999999999999995E-3</v>
      </c>
    </row>
    <row r="86" spans="1:31">
      <c r="E86" s="289" t="s">
        <v>21</v>
      </c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90" t="s">
        <v>22</v>
      </c>
      <c r="U86" s="290"/>
      <c r="V86" s="291">
        <v>200</v>
      </c>
      <c r="W86" s="291"/>
    </row>
    <row r="88" spans="1:31">
      <c r="C88" s="13" t="s">
        <v>57</v>
      </c>
      <c r="D88" s="1">
        <v>200</v>
      </c>
      <c r="T88" s="182" t="s">
        <v>11</v>
      </c>
      <c r="U88" s="182"/>
      <c r="V88" s="182" t="s">
        <v>12</v>
      </c>
      <c r="W88" s="182"/>
      <c r="AE88" s="26">
        <f>AE89+AE90</f>
        <v>1.125</v>
      </c>
    </row>
    <row r="89" spans="1:31">
      <c r="E89" s="183" t="s">
        <v>58</v>
      </c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4">
        <v>0.6</v>
      </c>
      <c r="U89" s="184"/>
      <c r="V89" s="184">
        <v>0.6</v>
      </c>
      <c r="W89" s="184"/>
      <c r="AD89" s="10">
        <v>500</v>
      </c>
      <c r="AE89" s="10">
        <f>T89*AD89/1000</f>
        <v>0.3</v>
      </c>
    </row>
    <row r="90" spans="1:31">
      <c r="E90" s="185" t="s">
        <v>20</v>
      </c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7"/>
      <c r="T90" s="188">
        <v>15</v>
      </c>
      <c r="U90" s="189"/>
      <c r="V90" s="188">
        <v>15</v>
      </c>
      <c r="W90" s="189"/>
      <c r="AD90" s="10">
        <v>55</v>
      </c>
      <c r="AE90" s="10">
        <f>T90*AD90/1000</f>
        <v>0.82499999999999996</v>
      </c>
    </row>
    <row r="91" spans="1:31">
      <c r="E91" s="190" t="s">
        <v>21</v>
      </c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1" t="s">
        <v>22</v>
      </c>
      <c r="U91" s="191"/>
      <c r="V91" s="192">
        <v>200</v>
      </c>
      <c r="W91" s="192"/>
    </row>
    <row r="93" spans="1:31">
      <c r="C93" s="13" t="s">
        <v>59</v>
      </c>
      <c r="D93" s="1">
        <v>40</v>
      </c>
      <c r="AD93" s="10">
        <v>54.14</v>
      </c>
      <c r="AE93" s="26">
        <f>D93*AD93/1000</f>
        <v>2.1656</v>
      </c>
    </row>
    <row r="95" spans="1:31">
      <c r="A95" s="13" t="s">
        <v>60</v>
      </c>
      <c r="B95" s="13" t="s">
        <v>1</v>
      </c>
      <c r="C95" s="76" t="s">
        <v>2</v>
      </c>
      <c r="D95" s="1">
        <v>100</v>
      </c>
      <c r="AD95" s="34">
        <v>62.4</v>
      </c>
      <c r="AE95" s="22">
        <f>D95*AD95/1000</f>
        <v>6.24</v>
      </c>
    </row>
    <row r="96" spans="1:31">
      <c r="A96" s="13" t="s">
        <v>202</v>
      </c>
      <c r="B96" s="27">
        <f>AE95+AE98+AE115+AE121</f>
        <v>26.912650000000003</v>
      </c>
    </row>
    <row r="98" spans="1:31" ht="13.5" thickBot="1">
      <c r="A98" s="1"/>
      <c r="B98" s="1"/>
      <c r="C98" s="110" t="s">
        <v>207</v>
      </c>
      <c r="D98" s="1">
        <v>200</v>
      </c>
      <c r="AD98" s="1"/>
      <c r="AE98" s="115">
        <f>AE99+AE100+AE101</f>
        <v>16.195650000000001</v>
      </c>
    </row>
    <row r="99" spans="1:31" ht="24" customHeight="1" thickBot="1">
      <c r="A99" s="13" t="s">
        <v>204</v>
      </c>
      <c r="B99" s="1"/>
      <c r="E99" s="111" t="s">
        <v>208</v>
      </c>
      <c r="F99" s="112" t="s">
        <v>209</v>
      </c>
      <c r="G99" s="112" t="s">
        <v>209</v>
      </c>
      <c r="T99" s="182">
        <v>61.25</v>
      </c>
      <c r="U99" s="182"/>
      <c r="V99" s="182"/>
      <c r="W99" s="182"/>
      <c r="AD99" s="10">
        <v>65</v>
      </c>
      <c r="AE99" s="21">
        <f>T99/1000*AD99</f>
        <v>3.9812499999999997</v>
      </c>
    </row>
    <row r="100" spans="1:31" ht="26.25" customHeight="1" thickBot="1">
      <c r="A100" s="13" t="s">
        <v>205</v>
      </c>
      <c r="B100" s="1"/>
      <c r="E100" s="113" t="s">
        <v>18</v>
      </c>
      <c r="F100" s="113" t="s">
        <v>18</v>
      </c>
      <c r="G100" s="113" t="s">
        <v>18</v>
      </c>
      <c r="H100" s="113" t="s">
        <v>18</v>
      </c>
      <c r="I100" s="113" t="s">
        <v>18</v>
      </c>
      <c r="J100" s="113" t="s">
        <v>18</v>
      </c>
      <c r="K100" s="113" t="s">
        <v>18</v>
      </c>
      <c r="L100" s="113" t="s">
        <v>18</v>
      </c>
      <c r="M100" s="113" t="s">
        <v>18</v>
      </c>
      <c r="N100" s="113" t="s">
        <v>18</v>
      </c>
      <c r="O100" s="113" t="s">
        <v>18</v>
      </c>
      <c r="P100" s="113" t="s">
        <v>18</v>
      </c>
      <c r="Q100" s="113" t="s">
        <v>18</v>
      </c>
      <c r="R100" s="113" t="s">
        <v>18</v>
      </c>
      <c r="S100" s="113" t="s">
        <v>18</v>
      </c>
      <c r="T100" s="352">
        <v>5</v>
      </c>
      <c r="U100" s="310"/>
      <c r="V100" s="309"/>
      <c r="W100" s="310"/>
      <c r="AD100" s="10">
        <v>550</v>
      </c>
      <c r="AE100" s="21">
        <f t="shared" ref="AE100:AE101" si="9">T100/1000*AD100</f>
        <v>2.75</v>
      </c>
    </row>
    <row r="101" spans="1:31" ht="18.75" customHeight="1" thickBot="1">
      <c r="A101" s="1" t="s">
        <v>206</v>
      </c>
      <c r="B101" s="1"/>
      <c r="E101" s="113" t="s">
        <v>210</v>
      </c>
      <c r="F101" s="113" t="s">
        <v>210</v>
      </c>
      <c r="G101" s="113" t="s">
        <v>210</v>
      </c>
      <c r="H101" s="113" t="s">
        <v>210</v>
      </c>
      <c r="I101" s="113" t="s">
        <v>210</v>
      </c>
      <c r="J101" s="113" t="s">
        <v>210</v>
      </c>
      <c r="K101" s="113" t="s">
        <v>210</v>
      </c>
      <c r="L101" s="113" t="s">
        <v>210</v>
      </c>
      <c r="M101" s="113" t="s">
        <v>210</v>
      </c>
      <c r="N101" s="113" t="s">
        <v>210</v>
      </c>
      <c r="O101" s="113" t="s">
        <v>210</v>
      </c>
      <c r="P101" s="113" t="s">
        <v>210</v>
      </c>
      <c r="Q101" s="113" t="s">
        <v>210</v>
      </c>
      <c r="R101" s="113" t="s">
        <v>210</v>
      </c>
      <c r="S101" s="113" t="s">
        <v>210</v>
      </c>
      <c r="T101" s="351">
        <v>22</v>
      </c>
      <c r="U101" s="234"/>
      <c r="V101" s="233"/>
      <c r="W101" s="234"/>
      <c r="AD101" s="10">
        <v>430.2</v>
      </c>
      <c r="AE101" s="21">
        <f t="shared" si="9"/>
        <v>9.4643999999999995</v>
      </c>
    </row>
    <row r="102" spans="1:31" ht="16.5" thickBot="1">
      <c r="A102" s="1"/>
      <c r="B102" s="1"/>
      <c r="E102" s="114" t="s">
        <v>211</v>
      </c>
      <c r="F102" s="114" t="s">
        <v>211</v>
      </c>
      <c r="G102" s="114" t="s">
        <v>211</v>
      </c>
      <c r="H102" s="114" t="s">
        <v>211</v>
      </c>
      <c r="I102" s="114" t="s">
        <v>211</v>
      </c>
      <c r="J102" s="114" t="s">
        <v>211</v>
      </c>
      <c r="K102" s="114" t="s">
        <v>211</v>
      </c>
      <c r="L102" s="114" t="s">
        <v>211</v>
      </c>
      <c r="M102" s="114" t="s">
        <v>211</v>
      </c>
      <c r="N102" s="114" t="s">
        <v>211</v>
      </c>
      <c r="O102" s="114" t="s">
        <v>211</v>
      </c>
      <c r="P102" s="114" t="s">
        <v>211</v>
      </c>
      <c r="Q102" s="114" t="s">
        <v>211</v>
      </c>
      <c r="R102" s="114" t="s">
        <v>211</v>
      </c>
      <c r="S102" s="114" t="s">
        <v>211</v>
      </c>
      <c r="T102" s="85">
        <v>200</v>
      </c>
      <c r="U102" s="86"/>
      <c r="V102" s="85"/>
      <c r="W102" s="86"/>
      <c r="X102" s="30"/>
      <c r="Y102" s="30"/>
      <c r="Z102" s="30"/>
      <c r="AA102" s="30"/>
      <c r="AB102" s="30"/>
      <c r="AC102" s="30"/>
      <c r="AD102" s="31"/>
    </row>
    <row r="103" spans="1:31">
      <c r="A103" s="1"/>
      <c r="B103" s="1"/>
      <c r="E103" s="237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9"/>
      <c r="T103" s="233"/>
      <c r="U103" s="234"/>
      <c r="V103" s="233"/>
      <c r="W103" s="234"/>
    </row>
    <row r="104" spans="1:31" hidden="1">
      <c r="A104" s="1"/>
      <c r="B104" s="1"/>
      <c r="E104" s="237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9"/>
      <c r="T104" s="233"/>
      <c r="U104" s="234"/>
      <c r="V104" s="233"/>
      <c r="W104" s="234"/>
    </row>
    <row r="105" spans="1:31" hidden="1">
      <c r="A105" s="1"/>
      <c r="B105" s="1"/>
      <c r="E105" s="300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2"/>
      <c r="T105" s="233"/>
      <c r="U105" s="234"/>
      <c r="V105" s="233"/>
      <c r="W105" s="234"/>
    </row>
    <row r="106" spans="1:31" hidden="1">
      <c r="A106" s="1"/>
      <c r="B106" s="1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7"/>
      <c r="U106" s="257"/>
      <c r="V106" s="257"/>
      <c r="W106" s="257"/>
    </row>
    <row r="107" spans="1:31" hidden="1">
      <c r="A107" s="1"/>
      <c r="B107" s="1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90"/>
      <c r="U107" s="290"/>
      <c r="V107" s="291"/>
      <c r="W107" s="291"/>
    </row>
    <row r="108" spans="1:31" hidden="1"/>
    <row r="109" spans="1:31" ht="15" hidden="1">
      <c r="A109" s="1"/>
      <c r="B109" s="1"/>
      <c r="C109" s="1"/>
      <c r="T109" s="182"/>
      <c r="U109" s="182"/>
      <c r="V109" s="182"/>
      <c r="W109" s="182"/>
      <c r="AE109" s="22"/>
    </row>
    <row r="110" spans="1:31" hidden="1">
      <c r="A110" s="1"/>
      <c r="B110" s="1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7"/>
      <c r="U110" s="257"/>
      <c r="V110" s="257"/>
      <c r="W110" s="257"/>
    </row>
    <row r="111" spans="1:31" hidden="1">
      <c r="A111" s="1"/>
      <c r="B111" s="1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7"/>
      <c r="U111" s="257"/>
      <c r="V111" s="257"/>
      <c r="W111" s="257"/>
    </row>
    <row r="112" spans="1:31" hidden="1">
      <c r="A112" s="1"/>
      <c r="B112" s="1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7"/>
      <c r="U112" s="257"/>
      <c r="V112" s="257"/>
      <c r="W112" s="257"/>
    </row>
    <row r="113" spans="1:31" hidden="1"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90"/>
      <c r="U113" s="290"/>
      <c r="V113" s="291"/>
      <c r="W113" s="291"/>
    </row>
    <row r="115" spans="1:31">
      <c r="C115" s="13" t="s">
        <v>70</v>
      </c>
      <c r="D115" s="1">
        <v>200</v>
      </c>
      <c r="T115" s="182" t="s">
        <v>11</v>
      </c>
      <c r="U115" s="182"/>
      <c r="V115" s="182" t="s">
        <v>12</v>
      </c>
      <c r="W115" s="182"/>
      <c r="AE115" s="22">
        <f>SUM(AE116:AE118)</f>
        <v>2.2000000000000002</v>
      </c>
    </row>
    <row r="116" spans="1:31">
      <c r="E116" s="183" t="s">
        <v>58</v>
      </c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4">
        <v>0.6</v>
      </c>
      <c r="U116" s="184"/>
      <c r="V116" s="184">
        <v>0.6</v>
      </c>
      <c r="W116" s="184"/>
      <c r="AD116" s="10">
        <v>500</v>
      </c>
      <c r="AE116" s="10">
        <f>T116*AD116/1000</f>
        <v>0.3</v>
      </c>
    </row>
    <row r="117" spans="1:31">
      <c r="E117" s="185" t="s">
        <v>20</v>
      </c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7"/>
      <c r="T117" s="188">
        <v>15</v>
      </c>
      <c r="U117" s="189"/>
      <c r="V117" s="188">
        <v>15</v>
      </c>
      <c r="W117" s="189"/>
      <c r="AD117" s="10">
        <v>55</v>
      </c>
      <c r="AE117" s="10">
        <f t="shared" ref="AE117:AE118" si="10">T117*AD117/1000</f>
        <v>0.82499999999999996</v>
      </c>
    </row>
    <row r="118" spans="1:31">
      <c r="E118" s="185" t="s">
        <v>71</v>
      </c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7"/>
      <c r="T118" s="188">
        <v>5</v>
      </c>
      <c r="U118" s="189"/>
      <c r="V118" s="188">
        <v>4</v>
      </c>
      <c r="W118" s="189"/>
      <c r="AD118" s="10">
        <v>215</v>
      </c>
      <c r="AE118" s="10">
        <f t="shared" si="10"/>
        <v>1.075</v>
      </c>
    </row>
    <row r="119" spans="1:31">
      <c r="E119" s="190" t="s">
        <v>21</v>
      </c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1" t="s">
        <v>22</v>
      </c>
      <c r="U119" s="191"/>
      <c r="V119" s="191" t="s">
        <v>72</v>
      </c>
      <c r="W119" s="191"/>
    </row>
    <row r="121" spans="1:31">
      <c r="C121" s="13" t="s">
        <v>26</v>
      </c>
      <c r="D121" s="1">
        <v>50</v>
      </c>
      <c r="AD121" s="10">
        <v>45.54</v>
      </c>
      <c r="AE121" s="22">
        <f>AD121*D121/1000</f>
        <v>2.2770000000000001</v>
      </c>
    </row>
    <row r="123" spans="1:31">
      <c r="A123" s="13" t="s">
        <v>73</v>
      </c>
      <c r="B123" s="13" t="s">
        <v>1</v>
      </c>
      <c r="C123" s="76" t="s">
        <v>192</v>
      </c>
      <c r="D123" s="94">
        <v>40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195" t="s">
        <v>11</v>
      </c>
      <c r="U123" s="195"/>
      <c r="V123" s="195" t="s">
        <v>12</v>
      </c>
      <c r="W123" s="195"/>
      <c r="X123" s="30"/>
      <c r="Y123" s="30"/>
      <c r="Z123" s="30"/>
      <c r="AA123" s="30"/>
      <c r="AB123" s="30"/>
      <c r="AC123" s="30"/>
      <c r="AD123" s="31"/>
      <c r="AE123" s="81">
        <f>AE124</f>
        <v>3.532</v>
      </c>
    </row>
    <row r="124" spans="1:31">
      <c r="A124" s="13" t="s">
        <v>203</v>
      </c>
      <c r="B124" s="28">
        <f>AE123+AE129+AE131+AE140+AE142+AE144</f>
        <v>42.307299999999998</v>
      </c>
      <c r="C124" s="76"/>
      <c r="D124" s="30"/>
      <c r="E124" s="196" t="s">
        <v>192</v>
      </c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7">
        <v>40</v>
      </c>
      <c r="U124" s="197"/>
      <c r="V124" s="197">
        <v>40</v>
      </c>
      <c r="W124" s="197"/>
      <c r="X124" s="30"/>
      <c r="Y124" s="30"/>
      <c r="Z124" s="30"/>
      <c r="AA124" s="30"/>
      <c r="AB124" s="30"/>
      <c r="AC124" s="30"/>
      <c r="AD124" s="31">
        <v>88.3</v>
      </c>
      <c r="AE124" s="31">
        <f>T124*AD124/1000</f>
        <v>3.532</v>
      </c>
    </row>
    <row r="125" spans="1:31">
      <c r="C125" s="76"/>
      <c r="D125" s="30"/>
      <c r="E125" s="198" t="s">
        <v>21</v>
      </c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9" t="s">
        <v>22</v>
      </c>
      <c r="U125" s="199"/>
      <c r="V125" s="200">
        <v>20</v>
      </c>
      <c r="W125" s="200"/>
      <c r="X125" s="30"/>
      <c r="Y125" s="30"/>
      <c r="Z125" s="30"/>
      <c r="AA125" s="30"/>
      <c r="AB125" s="30"/>
      <c r="AC125" s="30"/>
      <c r="AD125" s="31"/>
      <c r="AE125" s="31"/>
    </row>
    <row r="126" spans="1:31">
      <c r="T126" s="201" t="s">
        <v>11</v>
      </c>
      <c r="U126" s="201"/>
      <c r="V126" s="201" t="s">
        <v>12</v>
      </c>
      <c r="W126" s="201"/>
    </row>
    <row r="127" spans="1:31">
      <c r="C127" s="13" t="s">
        <v>76</v>
      </c>
      <c r="D127" s="1">
        <v>50</v>
      </c>
      <c r="E127" s="256" t="s">
        <v>77</v>
      </c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7">
        <v>53.75</v>
      </c>
      <c r="U127" s="257"/>
      <c r="V127" s="257">
        <v>50</v>
      </c>
      <c r="W127" s="257"/>
      <c r="AD127" s="10">
        <v>160</v>
      </c>
      <c r="AE127" s="29">
        <f>T127*AD127/1000</f>
        <v>8.6</v>
      </c>
    </row>
    <row r="128" spans="1:31">
      <c r="T128" s="201" t="s">
        <v>11</v>
      </c>
      <c r="U128" s="201"/>
      <c r="V128" s="201" t="s">
        <v>12</v>
      </c>
      <c r="W128" s="201"/>
    </row>
    <row r="129" spans="3:31" s="1" customFormat="1">
      <c r="C129" s="95" t="s">
        <v>79</v>
      </c>
      <c r="D129" s="96">
        <v>20</v>
      </c>
      <c r="E129" s="256" t="s">
        <v>78</v>
      </c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7">
        <v>21</v>
      </c>
      <c r="U129" s="257"/>
      <c r="V129" s="257">
        <v>20</v>
      </c>
      <c r="W129" s="257"/>
      <c r="X129" s="96"/>
      <c r="Y129" s="96"/>
      <c r="Z129" s="96"/>
      <c r="AA129" s="96"/>
      <c r="AB129" s="96"/>
      <c r="AC129" s="96"/>
      <c r="AD129" s="97">
        <v>430.2</v>
      </c>
      <c r="AE129" s="29">
        <f>T129*AD129/1000</f>
        <v>9.0341999999999985</v>
      </c>
    </row>
    <row r="131" spans="3:31" s="1" customFormat="1">
      <c r="C131" s="13" t="s">
        <v>80</v>
      </c>
      <c r="D131" s="1">
        <v>250</v>
      </c>
      <c r="T131" s="182" t="s">
        <v>11</v>
      </c>
      <c r="U131" s="182"/>
      <c r="V131" s="182" t="s">
        <v>12</v>
      </c>
      <c r="W131" s="182"/>
      <c r="AD131" s="10"/>
      <c r="AE131" s="29">
        <f>SUM(AE132:AE137)</f>
        <v>26.450500000000002</v>
      </c>
    </row>
    <row r="132" spans="3:31" s="1" customFormat="1">
      <c r="C132" s="13"/>
      <c r="E132" s="256" t="s">
        <v>52</v>
      </c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7">
        <v>125</v>
      </c>
      <c r="U132" s="257"/>
      <c r="V132" s="257">
        <v>125</v>
      </c>
      <c r="W132" s="257"/>
      <c r="AD132" s="10">
        <v>140</v>
      </c>
      <c r="AE132" s="10">
        <f>T132*AD132/1000</f>
        <v>17.5</v>
      </c>
    </row>
    <row r="133" spans="3:31" s="1" customFormat="1">
      <c r="C133" s="13"/>
      <c r="E133" s="237" t="s">
        <v>16</v>
      </c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9"/>
      <c r="T133" s="233">
        <v>100</v>
      </c>
      <c r="U133" s="234"/>
      <c r="V133" s="257">
        <v>100</v>
      </c>
      <c r="W133" s="257"/>
      <c r="AD133" s="10">
        <v>48.17</v>
      </c>
      <c r="AE133" s="10">
        <f t="shared" ref="AE133:AE137" si="11">T133*AD133/1000</f>
        <v>4.8170000000000002</v>
      </c>
    </row>
    <row r="134" spans="3:31" s="1" customFormat="1">
      <c r="C134" s="13"/>
      <c r="E134" s="237" t="s">
        <v>18</v>
      </c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9"/>
      <c r="T134" s="233">
        <v>3.75</v>
      </c>
      <c r="U134" s="234"/>
      <c r="V134" s="257">
        <v>3.75</v>
      </c>
      <c r="W134" s="257"/>
      <c r="AD134" s="10">
        <v>550</v>
      </c>
      <c r="AE134" s="10">
        <f t="shared" si="11"/>
        <v>2.0625</v>
      </c>
    </row>
    <row r="135" spans="3:31" s="1" customFormat="1">
      <c r="C135" s="13"/>
      <c r="E135" s="237" t="s">
        <v>17</v>
      </c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9"/>
      <c r="T135" s="233">
        <v>56.25</v>
      </c>
      <c r="U135" s="234"/>
      <c r="V135" s="257">
        <v>56.25</v>
      </c>
      <c r="W135" s="257"/>
      <c r="AD135" s="10"/>
      <c r="AE135" s="10">
        <f t="shared" si="11"/>
        <v>0</v>
      </c>
    </row>
    <row r="136" spans="3:31" s="1" customFormat="1">
      <c r="C136" s="13"/>
      <c r="E136" s="237" t="s">
        <v>18</v>
      </c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9"/>
      <c r="T136" s="235">
        <v>3.75</v>
      </c>
      <c r="U136" s="236"/>
      <c r="V136" s="257">
        <v>3.75</v>
      </c>
      <c r="W136" s="257"/>
      <c r="AD136" s="10">
        <v>550</v>
      </c>
      <c r="AE136" s="10">
        <f t="shared" si="11"/>
        <v>2.0625</v>
      </c>
    </row>
    <row r="137" spans="3:31" s="1" customFormat="1">
      <c r="C137" s="13"/>
      <c r="E137" s="256" t="s">
        <v>19</v>
      </c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7">
        <v>0.5</v>
      </c>
      <c r="U137" s="257"/>
      <c r="V137" s="257">
        <v>0.5</v>
      </c>
      <c r="W137" s="257"/>
      <c r="AD137" s="10">
        <v>17</v>
      </c>
      <c r="AE137" s="10">
        <f t="shared" si="11"/>
        <v>8.5000000000000006E-3</v>
      </c>
    </row>
    <row r="138" spans="3:31" s="1" customFormat="1">
      <c r="C138" s="13"/>
      <c r="E138" s="289" t="s">
        <v>21</v>
      </c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90" t="s">
        <v>22</v>
      </c>
      <c r="U138" s="290"/>
      <c r="V138" s="291">
        <v>250</v>
      </c>
      <c r="W138" s="291"/>
      <c r="AD138" s="10"/>
      <c r="AE138" s="10"/>
    </row>
    <row r="139" spans="3:31" s="1" customFormat="1">
      <c r="C139" s="13"/>
      <c r="T139" s="182" t="s">
        <v>11</v>
      </c>
      <c r="U139" s="182"/>
      <c r="V139" s="182" t="s">
        <v>12</v>
      </c>
      <c r="W139" s="182"/>
      <c r="AD139" s="10"/>
      <c r="AE139" s="10"/>
    </row>
    <row r="140" spans="3:31" s="1" customFormat="1">
      <c r="C140" s="93" t="s">
        <v>81</v>
      </c>
      <c r="D140" s="94"/>
      <c r="E140" s="347" t="s">
        <v>82</v>
      </c>
      <c r="F140" s="347"/>
      <c r="G140" s="347"/>
      <c r="H140" s="347"/>
      <c r="I140" s="347"/>
      <c r="J140" s="347"/>
      <c r="K140" s="347"/>
      <c r="L140" s="347"/>
      <c r="M140" s="347"/>
      <c r="N140" s="347"/>
      <c r="O140" s="347"/>
      <c r="P140" s="347"/>
      <c r="Q140" s="347"/>
      <c r="R140" s="347"/>
      <c r="S140" s="347"/>
      <c r="T140" s="348">
        <v>100</v>
      </c>
      <c r="U140" s="348"/>
      <c r="V140" s="348">
        <v>100</v>
      </c>
      <c r="W140" s="348"/>
      <c r="AD140" s="10"/>
      <c r="AE140" s="29">
        <f>T140*AD140/1000</f>
        <v>0</v>
      </c>
    </row>
    <row r="142" spans="3:31" s="1" customFormat="1">
      <c r="C142" s="13" t="s">
        <v>59</v>
      </c>
      <c r="D142" s="1">
        <v>40</v>
      </c>
      <c r="AD142" s="10">
        <v>54.14</v>
      </c>
      <c r="AE142" s="29">
        <f>D142*AD142/1000</f>
        <v>2.1656</v>
      </c>
    </row>
    <row r="144" spans="3:31" s="1" customFormat="1">
      <c r="C144" s="13" t="s">
        <v>57</v>
      </c>
      <c r="D144" s="1">
        <v>200</v>
      </c>
      <c r="T144" s="182" t="s">
        <v>11</v>
      </c>
      <c r="U144" s="182"/>
      <c r="V144" s="182" t="s">
        <v>12</v>
      </c>
      <c r="W144" s="182"/>
      <c r="AD144" s="10"/>
      <c r="AE144" s="29">
        <f>AE145+AE146</f>
        <v>1.125</v>
      </c>
    </row>
    <row r="145" spans="1:31">
      <c r="E145" s="183" t="s">
        <v>58</v>
      </c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4">
        <v>0.6</v>
      </c>
      <c r="U145" s="184"/>
      <c r="V145" s="184">
        <v>0.6</v>
      </c>
      <c r="W145" s="184"/>
      <c r="AD145" s="10">
        <v>500</v>
      </c>
      <c r="AE145" s="10">
        <f>AD145*T145/1000</f>
        <v>0.3</v>
      </c>
    </row>
    <row r="146" spans="1:31">
      <c r="E146" s="185" t="s">
        <v>20</v>
      </c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7"/>
      <c r="T146" s="188">
        <v>15</v>
      </c>
      <c r="U146" s="189"/>
      <c r="V146" s="188">
        <v>15</v>
      </c>
      <c r="W146" s="189"/>
      <c r="AD146" s="10">
        <v>55</v>
      </c>
      <c r="AE146" s="10">
        <f>AD146*T146/1000</f>
        <v>0.82499999999999996</v>
      </c>
    </row>
    <row r="147" spans="1:31">
      <c r="E147" s="190" t="s">
        <v>21</v>
      </c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1" t="s">
        <v>22</v>
      </c>
      <c r="U147" s="191"/>
      <c r="V147" s="192">
        <v>200</v>
      </c>
      <c r="W147" s="192"/>
    </row>
    <row r="150" spans="1:31" hidden="1">
      <c r="A150" s="77" t="s">
        <v>83</v>
      </c>
      <c r="B150" s="77" t="s">
        <v>1</v>
      </c>
      <c r="C150" s="77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32"/>
      <c r="AE150" s="32"/>
    </row>
    <row r="151" spans="1:31" hidden="1">
      <c r="A151" s="77"/>
      <c r="B151" s="79">
        <f>AE151+AE153+AE165+AE172+AE174</f>
        <v>67.155680000000004</v>
      </c>
      <c r="C151" s="77" t="s">
        <v>84</v>
      </c>
      <c r="D151" s="78"/>
      <c r="E151" s="261" t="s">
        <v>85</v>
      </c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2">
        <v>102</v>
      </c>
      <c r="U151" s="262"/>
      <c r="V151" s="262">
        <v>100</v>
      </c>
      <c r="W151" s="262"/>
      <c r="X151" s="78"/>
      <c r="Y151" s="78"/>
      <c r="Z151" s="78"/>
      <c r="AA151" s="78"/>
      <c r="AB151" s="78"/>
      <c r="AC151" s="78"/>
      <c r="AD151" s="32">
        <v>105</v>
      </c>
      <c r="AE151" s="32">
        <f>T151*AD151/1000</f>
        <v>10.71</v>
      </c>
    </row>
    <row r="152" spans="1:31" hidden="1">
      <c r="A152" s="77"/>
      <c r="B152" s="77"/>
      <c r="C152" s="77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32"/>
      <c r="AE152" s="32"/>
    </row>
    <row r="153" spans="1:31" hidden="1">
      <c r="A153" s="77"/>
      <c r="B153" s="77"/>
      <c r="C153" s="77" t="s">
        <v>86</v>
      </c>
      <c r="D153" s="78">
        <v>90</v>
      </c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267" t="s">
        <v>11</v>
      </c>
      <c r="U153" s="267"/>
      <c r="V153" s="267" t="s">
        <v>12</v>
      </c>
      <c r="W153" s="267"/>
      <c r="X153" s="78"/>
      <c r="Y153" s="78"/>
      <c r="Z153" s="78"/>
      <c r="AA153" s="78"/>
      <c r="AB153" s="78"/>
      <c r="AC153" s="78"/>
      <c r="AD153" s="32"/>
      <c r="AE153" s="32">
        <f>SUM(AE154:AE162)</f>
        <v>38.222900000000003</v>
      </c>
    </row>
    <row r="154" spans="1:31" hidden="1">
      <c r="A154" s="77"/>
      <c r="B154" s="77"/>
      <c r="C154" s="77"/>
      <c r="D154" s="78"/>
      <c r="E154" s="261" t="s">
        <v>63</v>
      </c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2">
        <f>50*V163/90</f>
        <v>50</v>
      </c>
      <c r="U154" s="262"/>
      <c r="V154" s="262">
        <f>42*V163/90</f>
        <v>42</v>
      </c>
      <c r="W154" s="262"/>
      <c r="X154" s="78"/>
      <c r="Y154" s="78"/>
      <c r="Z154" s="78"/>
      <c r="AA154" s="78"/>
      <c r="AB154" s="78"/>
      <c r="AC154" s="78"/>
      <c r="AD154" s="32">
        <v>548</v>
      </c>
      <c r="AE154" s="32">
        <f>T154*AD154/1000</f>
        <v>27.4</v>
      </c>
    </row>
    <row r="155" spans="1:31" hidden="1">
      <c r="A155" s="77"/>
      <c r="B155" s="77"/>
      <c r="C155" s="77"/>
      <c r="D155" s="78"/>
      <c r="E155" s="263" t="s">
        <v>87</v>
      </c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5"/>
      <c r="T155" s="259">
        <f>24*V163/90</f>
        <v>24</v>
      </c>
      <c r="U155" s="260"/>
      <c r="V155" s="259">
        <f>20*V163/90</f>
        <v>20</v>
      </c>
      <c r="W155" s="260"/>
      <c r="X155" s="78"/>
      <c r="Y155" s="78"/>
      <c r="Z155" s="78"/>
      <c r="AA155" s="78"/>
      <c r="AB155" s="78"/>
      <c r="AC155" s="78"/>
      <c r="AD155" s="32">
        <v>330</v>
      </c>
      <c r="AE155" s="32">
        <f t="shared" ref="AE155:AE162" si="12">T155*AD155/1000</f>
        <v>7.92</v>
      </c>
    </row>
    <row r="156" spans="1:31" hidden="1">
      <c r="A156" s="77"/>
      <c r="B156" s="77"/>
      <c r="C156" s="77"/>
      <c r="D156" s="78"/>
      <c r="E156" s="263" t="s">
        <v>88</v>
      </c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5"/>
      <c r="T156" s="259">
        <f>13.5*V163/90</f>
        <v>13.5</v>
      </c>
      <c r="U156" s="260"/>
      <c r="V156" s="259">
        <f>T156</f>
        <v>13.5</v>
      </c>
      <c r="W156" s="260"/>
      <c r="X156" s="78"/>
      <c r="Y156" s="78"/>
      <c r="Z156" s="78"/>
      <c r="AA156" s="78"/>
      <c r="AB156" s="78"/>
      <c r="AC156" s="78"/>
      <c r="AD156" s="32">
        <v>45.54</v>
      </c>
      <c r="AE156" s="32">
        <f t="shared" si="12"/>
        <v>0.61478999999999995</v>
      </c>
    </row>
    <row r="157" spans="1:31" hidden="1">
      <c r="A157" s="77"/>
      <c r="B157" s="77"/>
      <c r="C157" s="77"/>
      <c r="D157" s="78"/>
      <c r="E157" s="263" t="s">
        <v>64</v>
      </c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5"/>
      <c r="T157" s="259">
        <f>4*V163/90</f>
        <v>4</v>
      </c>
      <c r="U157" s="260"/>
      <c r="V157" s="259">
        <f t="shared" ref="V157:V162" si="13">T157</f>
        <v>4</v>
      </c>
      <c r="W157" s="260"/>
      <c r="X157" s="78"/>
      <c r="Y157" s="78"/>
      <c r="Z157" s="78"/>
      <c r="AA157" s="78"/>
      <c r="AB157" s="78"/>
      <c r="AC157" s="78"/>
      <c r="AD157" s="32">
        <v>140</v>
      </c>
      <c r="AE157" s="32">
        <f t="shared" si="12"/>
        <v>0.56000000000000005</v>
      </c>
    </row>
    <row r="158" spans="1:31" hidden="1">
      <c r="A158" s="77"/>
      <c r="B158" s="77"/>
      <c r="C158" s="77"/>
      <c r="D158" s="78"/>
      <c r="E158" s="263" t="s">
        <v>89</v>
      </c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5"/>
      <c r="T158" s="259">
        <f>3.5*V163/90</f>
        <v>3.5</v>
      </c>
      <c r="U158" s="260"/>
      <c r="V158" s="259">
        <f t="shared" si="13"/>
        <v>3.5</v>
      </c>
      <c r="W158" s="260"/>
      <c r="X158" s="78"/>
      <c r="Y158" s="78"/>
      <c r="Z158" s="78"/>
      <c r="AA158" s="78"/>
      <c r="AB158" s="78"/>
      <c r="AC158" s="78"/>
      <c r="AD158" s="32">
        <v>20</v>
      </c>
      <c r="AE158" s="32">
        <f t="shared" si="12"/>
        <v>7.0000000000000007E-2</v>
      </c>
    </row>
    <row r="159" spans="1:31" hidden="1">
      <c r="A159" s="77"/>
      <c r="B159" s="77"/>
      <c r="C159" s="77"/>
      <c r="D159" s="78"/>
      <c r="E159" s="263" t="s">
        <v>16</v>
      </c>
      <c r="F159" s="264"/>
      <c r="G159" s="264"/>
      <c r="H159" s="264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265"/>
      <c r="T159" s="259">
        <f>13*V163/90</f>
        <v>13</v>
      </c>
      <c r="U159" s="260"/>
      <c r="V159" s="259">
        <f t="shared" si="13"/>
        <v>13</v>
      </c>
      <c r="W159" s="260"/>
      <c r="X159" s="78"/>
      <c r="Y159" s="78"/>
      <c r="Z159" s="78"/>
      <c r="AA159" s="78"/>
      <c r="AB159" s="78"/>
      <c r="AC159" s="78"/>
      <c r="AD159" s="32">
        <v>48.17</v>
      </c>
      <c r="AE159" s="32">
        <f t="shared" si="12"/>
        <v>0.62621000000000004</v>
      </c>
    </row>
    <row r="160" spans="1:31" hidden="1">
      <c r="A160" s="77"/>
      <c r="B160" s="77"/>
      <c r="C160" s="77"/>
      <c r="D160" s="78"/>
      <c r="E160" s="261" t="s">
        <v>55</v>
      </c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2">
        <f>4*V163/90</f>
        <v>4</v>
      </c>
      <c r="U160" s="262"/>
      <c r="V160" s="259">
        <f t="shared" si="13"/>
        <v>4</v>
      </c>
      <c r="W160" s="260"/>
      <c r="X160" s="78"/>
      <c r="Y160" s="78"/>
      <c r="Z160" s="78"/>
      <c r="AA160" s="78"/>
      <c r="AB160" s="78"/>
      <c r="AC160" s="78"/>
      <c r="AD160" s="32">
        <v>150</v>
      </c>
      <c r="AE160" s="32">
        <f t="shared" si="12"/>
        <v>0.6</v>
      </c>
    </row>
    <row r="161" spans="1:31" hidden="1">
      <c r="A161" s="77"/>
      <c r="B161" s="77"/>
      <c r="C161" s="77"/>
      <c r="D161" s="78"/>
      <c r="E161" s="261" t="s">
        <v>19</v>
      </c>
      <c r="F161" s="261"/>
      <c r="G161" s="261"/>
      <c r="H161" s="261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261"/>
      <c r="T161" s="262">
        <f>0.7*V163/90</f>
        <v>0.7</v>
      </c>
      <c r="U161" s="262"/>
      <c r="V161" s="259">
        <f t="shared" si="13"/>
        <v>0.7</v>
      </c>
      <c r="W161" s="260"/>
      <c r="X161" s="78"/>
      <c r="Y161" s="78"/>
      <c r="Z161" s="78"/>
      <c r="AA161" s="78"/>
      <c r="AB161" s="78"/>
      <c r="AC161" s="78"/>
      <c r="AD161" s="32">
        <v>17</v>
      </c>
      <c r="AE161" s="32">
        <f t="shared" si="12"/>
        <v>1.1899999999999999E-2</v>
      </c>
    </row>
    <row r="162" spans="1:31" hidden="1">
      <c r="A162" s="77"/>
      <c r="B162" s="77"/>
      <c r="C162" s="77"/>
      <c r="D162" s="78"/>
      <c r="E162" s="263" t="s">
        <v>67</v>
      </c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5"/>
      <c r="T162" s="259">
        <f>3*V163/90</f>
        <v>3</v>
      </c>
      <c r="U162" s="260"/>
      <c r="V162" s="259">
        <f t="shared" si="13"/>
        <v>3</v>
      </c>
      <c r="W162" s="260"/>
      <c r="X162" s="78"/>
      <c r="Y162" s="78"/>
      <c r="Z162" s="78"/>
      <c r="AA162" s="78"/>
      <c r="AB162" s="78"/>
      <c r="AC162" s="78"/>
      <c r="AD162" s="32">
        <v>140</v>
      </c>
      <c r="AE162" s="32">
        <f t="shared" si="12"/>
        <v>0.42</v>
      </c>
    </row>
    <row r="163" spans="1:31" hidden="1">
      <c r="A163" s="77"/>
      <c r="B163" s="77"/>
      <c r="C163" s="77"/>
      <c r="D163" s="78"/>
      <c r="E163" s="266" t="s">
        <v>21</v>
      </c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68" t="s">
        <v>22</v>
      </c>
      <c r="U163" s="268"/>
      <c r="V163" s="269">
        <v>90</v>
      </c>
      <c r="W163" s="269"/>
      <c r="X163" s="78"/>
      <c r="Y163" s="78"/>
      <c r="Z163" s="78"/>
      <c r="AA163" s="78"/>
      <c r="AB163" s="78"/>
      <c r="AC163" s="78"/>
      <c r="AD163" s="32"/>
      <c r="AE163" s="32"/>
    </row>
    <row r="164" spans="1:31" hidden="1">
      <c r="A164" s="77"/>
      <c r="B164" s="77"/>
      <c r="C164" s="77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32"/>
      <c r="AE164" s="32"/>
    </row>
    <row r="165" spans="1:31" hidden="1">
      <c r="A165" s="77"/>
      <c r="B165" s="77"/>
      <c r="C165" s="77" t="s">
        <v>90</v>
      </c>
      <c r="D165" s="78">
        <v>150</v>
      </c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267" t="s">
        <v>11</v>
      </c>
      <c r="U165" s="267"/>
      <c r="V165" s="267" t="s">
        <v>12</v>
      </c>
      <c r="W165" s="267"/>
      <c r="X165" s="78"/>
      <c r="Y165" s="78"/>
      <c r="Z165" s="78"/>
      <c r="AA165" s="78"/>
      <c r="AB165" s="78"/>
      <c r="AC165" s="78"/>
      <c r="AD165" s="32"/>
      <c r="AE165" s="32">
        <f>SUM(AE166:AE169)</f>
        <v>7.4011799999999992</v>
      </c>
    </row>
    <row r="166" spans="1:31" hidden="1">
      <c r="A166" s="77"/>
      <c r="B166" s="77"/>
      <c r="C166" s="77"/>
      <c r="D166" s="78"/>
      <c r="E166" s="261" t="s">
        <v>91</v>
      </c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2">
        <f>170*V170/150</f>
        <v>170</v>
      </c>
      <c r="U166" s="262"/>
      <c r="V166" s="262">
        <f>128*V170/150</f>
        <v>128</v>
      </c>
      <c r="W166" s="262"/>
      <c r="X166" s="78"/>
      <c r="Y166" s="78"/>
      <c r="Z166" s="78"/>
      <c r="AA166" s="78"/>
      <c r="AB166" s="78"/>
      <c r="AC166" s="78"/>
      <c r="AD166" s="32">
        <v>27</v>
      </c>
      <c r="AE166" s="32">
        <f>T166*AD166/1000</f>
        <v>4.59</v>
      </c>
    </row>
    <row r="167" spans="1:31" hidden="1">
      <c r="A167" s="77"/>
      <c r="B167" s="77"/>
      <c r="C167" s="77"/>
      <c r="D167" s="78"/>
      <c r="E167" s="263" t="s">
        <v>16</v>
      </c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5"/>
      <c r="T167" s="259">
        <f>24*V170/150</f>
        <v>24</v>
      </c>
      <c r="U167" s="260"/>
      <c r="V167" s="259">
        <f>24*V170/150</f>
        <v>24</v>
      </c>
      <c r="W167" s="260"/>
      <c r="X167" s="78"/>
      <c r="Y167" s="78"/>
      <c r="Z167" s="78"/>
      <c r="AA167" s="78"/>
      <c r="AB167" s="78"/>
      <c r="AC167" s="78"/>
      <c r="AD167" s="32">
        <v>48.17</v>
      </c>
      <c r="AE167" s="32">
        <f t="shared" ref="AE167:AE169" si="14">T167*AD167/1000</f>
        <v>1.15608</v>
      </c>
    </row>
    <row r="168" spans="1:31" hidden="1">
      <c r="A168" s="77"/>
      <c r="B168" s="77"/>
      <c r="C168" s="77"/>
      <c r="D168" s="78"/>
      <c r="E168" s="263" t="s">
        <v>18</v>
      </c>
      <c r="F168" s="264"/>
      <c r="G168" s="264"/>
      <c r="H168" s="264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5"/>
      <c r="T168" s="259">
        <f>3*V170/150</f>
        <v>3</v>
      </c>
      <c r="U168" s="260"/>
      <c r="V168" s="259">
        <f>3*V170/150</f>
        <v>3</v>
      </c>
      <c r="W168" s="260"/>
      <c r="X168" s="78"/>
      <c r="Y168" s="78"/>
      <c r="Z168" s="78"/>
      <c r="AA168" s="78"/>
      <c r="AB168" s="78"/>
      <c r="AC168" s="78"/>
      <c r="AD168" s="32">
        <v>550</v>
      </c>
      <c r="AE168" s="32">
        <f t="shared" si="14"/>
        <v>1.65</v>
      </c>
    </row>
    <row r="169" spans="1:31" hidden="1">
      <c r="A169" s="77"/>
      <c r="B169" s="77"/>
      <c r="C169" s="77"/>
      <c r="D169" s="78"/>
      <c r="E169" s="261" t="s">
        <v>19</v>
      </c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2">
        <f>0.3*V170/150</f>
        <v>0.3</v>
      </c>
      <c r="U169" s="262"/>
      <c r="V169" s="262">
        <f>0.3*V170/150</f>
        <v>0.3</v>
      </c>
      <c r="W169" s="262"/>
      <c r="X169" s="78"/>
      <c r="Y169" s="78"/>
      <c r="Z169" s="78"/>
      <c r="AA169" s="78"/>
      <c r="AB169" s="78"/>
      <c r="AC169" s="78"/>
      <c r="AD169" s="32">
        <v>17</v>
      </c>
      <c r="AE169" s="32">
        <f t="shared" si="14"/>
        <v>5.0999999999999995E-3</v>
      </c>
    </row>
    <row r="170" spans="1:31" hidden="1">
      <c r="A170" s="77"/>
      <c r="B170" s="77"/>
      <c r="C170" s="77"/>
      <c r="D170" s="78"/>
      <c r="E170" s="266" t="s">
        <v>21</v>
      </c>
      <c r="F170" s="266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266"/>
      <c r="T170" s="268" t="s">
        <v>22</v>
      </c>
      <c r="U170" s="268"/>
      <c r="V170" s="269">
        <v>150</v>
      </c>
      <c r="W170" s="269"/>
      <c r="X170" s="78"/>
      <c r="Y170" s="78"/>
      <c r="Z170" s="78"/>
      <c r="AA170" s="78"/>
      <c r="AB170" s="78"/>
      <c r="AC170" s="78"/>
      <c r="AD170" s="32"/>
      <c r="AE170" s="32"/>
    </row>
    <row r="171" spans="1:31" hidden="1">
      <c r="A171" s="77"/>
      <c r="B171" s="77"/>
      <c r="C171" s="77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32"/>
      <c r="AE171" s="32"/>
    </row>
    <row r="172" spans="1:31" hidden="1">
      <c r="A172" s="77"/>
      <c r="B172" s="77"/>
      <c r="C172" s="77" t="s">
        <v>92</v>
      </c>
      <c r="D172" s="78">
        <v>200</v>
      </c>
      <c r="E172" s="261" t="s">
        <v>93</v>
      </c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70">
        <v>200</v>
      </c>
      <c r="U172" s="270"/>
      <c r="V172" s="270">
        <v>200</v>
      </c>
      <c r="W172" s="270"/>
      <c r="X172" s="78"/>
      <c r="Y172" s="78"/>
      <c r="Z172" s="78"/>
      <c r="AA172" s="78"/>
      <c r="AB172" s="78"/>
      <c r="AC172" s="78"/>
      <c r="AD172" s="32">
        <v>45</v>
      </c>
      <c r="AE172" s="32">
        <f>T172*AD172/1000</f>
        <v>9</v>
      </c>
    </row>
    <row r="173" spans="1:31" hidden="1">
      <c r="A173" s="77"/>
      <c r="B173" s="77"/>
      <c r="C173" s="77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32"/>
      <c r="AE173" s="32"/>
    </row>
    <row r="174" spans="1:31" hidden="1">
      <c r="A174" s="77"/>
      <c r="B174" s="77"/>
      <c r="C174" s="77" t="s">
        <v>26</v>
      </c>
      <c r="D174" s="78">
        <v>40</v>
      </c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32">
        <v>45.54</v>
      </c>
      <c r="AE174" s="32">
        <f>D174*AD174/1000</f>
        <v>1.8215999999999999</v>
      </c>
    </row>
    <row r="176" spans="1:31">
      <c r="A176" s="13" t="s">
        <v>83</v>
      </c>
      <c r="B176" s="13" t="s">
        <v>1</v>
      </c>
    </row>
    <row r="177" spans="1:31">
      <c r="A177" s="1" t="s">
        <v>200</v>
      </c>
      <c r="B177" s="35">
        <f>AE177+AE179+AE181+AE189+AE196</f>
        <v>41.824299999999994</v>
      </c>
      <c r="C177" s="13" t="s">
        <v>2</v>
      </c>
      <c r="E177" s="183" t="s">
        <v>2</v>
      </c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4">
        <v>100</v>
      </c>
      <c r="U177" s="184"/>
      <c r="V177" s="184">
        <v>100</v>
      </c>
      <c r="W177" s="184"/>
      <c r="AD177" s="10">
        <v>62.4</v>
      </c>
      <c r="AE177" s="36">
        <f>T177*AD177/1000</f>
        <v>6.24</v>
      </c>
    </row>
    <row r="179" spans="1:31">
      <c r="A179" s="1"/>
      <c r="C179" s="13" t="s">
        <v>97</v>
      </c>
      <c r="D179" s="1">
        <v>20</v>
      </c>
      <c r="E179" s="183" t="s">
        <v>78</v>
      </c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4">
        <v>21</v>
      </c>
      <c r="U179" s="184"/>
      <c r="V179" s="184">
        <v>20</v>
      </c>
      <c r="W179" s="184"/>
      <c r="AD179" s="10">
        <v>430.2</v>
      </c>
      <c r="AE179" s="36">
        <f>T179*AD179/1000</f>
        <v>9.0341999999999985</v>
      </c>
    </row>
    <row r="181" spans="1:31">
      <c r="A181" s="1"/>
      <c r="C181" s="13" t="s">
        <v>98</v>
      </c>
      <c r="D181" s="1">
        <v>200</v>
      </c>
      <c r="T181" s="182" t="s">
        <v>11</v>
      </c>
      <c r="U181" s="182"/>
      <c r="V181" s="182" t="s">
        <v>12</v>
      </c>
      <c r="W181" s="182"/>
      <c r="AE181" s="36">
        <f>SUM(AE182:AE186)</f>
        <v>17.2225</v>
      </c>
    </row>
    <row r="182" spans="1:31">
      <c r="A182" s="1"/>
      <c r="E182" s="183" t="s">
        <v>99</v>
      </c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4">
        <f>50*V187/200</f>
        <v>50</v>
      </c>
      <c r="U182" s="184"/>
      <c r="V182" s="184">
        <f>T182</f>
        <v>50</v>
      </c>
      <c r="W182" s="184"/>
      <c r="AD182" s="10">
        <v>90</v>
      </c>
      <c r="AE182" s="10">
        <f>T182*AD182/1000</f>
        <v>4.5</v>
      </c>
    </row>
    <row r="183" spans="1:31">
      <c r="A183" s="1"/>
      <c r="E183" s="185" t="s">
        <v>16</v>
      </c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7"/>
      <c r="T183" s="188">
        <f>200*V187/200</f>
        <v>200</v>
      </c>
      <c r="U183" s="189"/>
      <c r="V183" s="188">
        <f>T183</f>
        <v>200</v>
      </c>
      <c r="W183" s="189"/>
      <c r="AD183" s="10">
        <v>48.17</v>
      </c>
      <c r="AE183" s="10">
        <f t="shared" ref="AE183:AE186" si="15">T183*AD183/1000</f>
        <v>9.6340000000000003</v>
      </c>
    </row>
    <row r="184" spans="1:31">
      <c r="A184" s="1"/>
      <c r="E184" s="185" t="s">
        <v>20</v>
      </c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7"/>
      <c r="T184" s="188">
        <f>6*V187/200</f>
        <v>6</v>
      </c>
      <c r="U184" s="189"/>
      <c r="V184" s="188">
        <f>T184</f>
        <v>6</v>
      </c>
      <c r="W184" s="189"/>
      <c r="AD184" s="10">
        <v>55</v>
      </c>
      <c r="AE184" s="10">
        <f t="shared" si="15"/>
        <v>0.33</v>
      </c>
    </row>
    <row r="185" spans="1:31">
      <c r="A185" s="1"/>
      <c r="E185" s="185" t="s">
        <v>18</v>
      </c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7"/>
      <c r="T185" s="188">
        <f>5*V187/200</f>
        <v>5</v>
      </c>
      <c r="U185" s="189"/>
      <c r="V185" s="188">
        <f>T185</f>
        <v>5</v>
      </c>
      <c r="W185" s="189"/>
      <c r="AD185" s="10">
        <v>550</v>
      </c>
      <c r="AE185" s="10">
        <f t="shared" si="15"/>
        <v>2.75</v>
      </c>
    </row>
    <row r="186" spans="1:31">
      <c r="A186" s="1"/>
      <c r="E186" s="183" t="s">
        <v>19</v>
      </c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4">
        <f>0.5*V187/200</f>
        <v>0.5</v>
      </c>
      <c r="U186" s="184"/>
      <c r="V186" s="184">
        <f>T186</f>
        <v>0.5</v>
      </c>
      <c r="W186" s="184"/>
      <c r="AD186" s="10">
        <v>17</v>
      </c>
      <c r="AE186" s="10">
        <f t="shared" si="15"/>
        <v>8.5000000000000006E-3</v>
      </c>
    </row>
    <row r="187" spans="1:31">
      <c r="A187" s="1"/>
      <c r="E187" s="190" t="s">
        <v>21</v>
      </c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1" t="s">
        <v>22</v>
      </c>
      <c r="U187" s="191"/>
      <c r="V187" s="192">
        <v>200</v>
      </c>
      <c r="W187" s="192"/>
      <c r="AD187" s="10" t="s">
        <v>29</v>
      </c>
    </row>
    <row r="189" spans="1:31">
      <c r="A189" s="1"/>
      <c r="C189" s="13" t="s">
        <v>39</v>
      </c>
      <c r="D189" s="1">
        <v>200</v>
      </c>
      <c r="T189" s="182" t="s">
        <v>11</v>
      </c>
      <c r="U189" s="182"/>
      <c r="V189" s="182" t="s">
        <v>12</v>
      </c>
      <c r="W189" s="182"/>
      <c r="AE189" s="36">
        <f>SUM(AE190:AE193)</f>
        <v>7.1619999999999999</v>
      </c>
    </row>
    <row r="190" spans="1:31">
      <c r="A190" s="1"/>
      <c r="E190" s="183" t="s">
        <v>40</v>
      </c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4">
        <v>4</v>
      </c>
      <c r="U190" s="184"/>
      <c r="V190" s="184">
        <v>4</v>
      </c>
      <c r="W190" s="184"/>
      <c r="AD190" s="10">
        <v>380</v>
      </c>
      <c r="AE190" s="10">
        <f>AD190*T190/1000</f>
        <v>1.52</v>
      </c>
    </row>
    <row r="191" spans="1:31">
      <c r="A191" s="1"/>
      <c r="E191" s="185" t="s">
        <v>20</v>
      </c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7"/>
      <c r="T191" s="188">
        <v>15</v>
      </c>
      <c r="U191" s="189"/>
      <c r="V191" s="188">
        <v>15</v>
      </c>
      <c r="W191" s="189"/>
      <c r="AD191" s="10">
        <v>55</v>
      </c>
      <c r="AE191" s="10">
        <f t="shared" ref="AE191:AE193" si="16">AD191*T191/1000</f>
        <v>0.82499999999999996</v>
      </c>
    </row>
    <row r="192" spans="1:31">
      <c r="A192" s="1"/>
      <c r="E192" s="185" t="s">
        <v>41</v>
      </c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7"/>
      <c r="T192" s="188">
        <v>100</v>
      </c>
      <c r="U192" s="189"/>
      <c r="V192" s="188">
        <v>100</v>
      </c>
      <c r="W192" s="189"/>
      <c r="AD192" s="10">
        <v>48.17</v>
      </c>
      <c r="AE192" s="10">
        <f t="shared" si="16"/>
        <v>4.8170000000000002</v>
      </c>
    </row>
    <row r="193" spans="1:31">
      <c r="E193" s="185" t="s">
        <v>17</v>
      </c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7"/>
      <c r="T193" s="188">
        <v>81</v>
      </c>
      <c r="U193" s="189"/>
      <c r="V193" s="188">
        <v>81</v>
      </c>
      <c r="W193" s="189"/>
      <c r="AD193" s="10">
        <v>0</v>
      </c>
      <c r="AE193" s="10">
        <f t="shared" si="16"/>
        <v>0</v>
      </c>
    </row>
    <row r="194" spans="1:31">
      <c r="E194" s="190" t="s">
        <v>21</v>
      </c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1" t="s">
        <v>22</v>
      </c>
      <c r="U194" s="191"/>
      <c r="V194" s="192">
        <v>200</v>
      </c>
      <c r="W194" s="192"/>
    </row>
    <row r="196" spans="1:31">
      <c r="C196" s="13" t="s">
        <v>59</v>
      </c>
      <c r="D196" s="1">
        <v>40</v>
      </c>
      <c r="AD196" s="10">
        <v>54.14</v>
      </c>
      <c r="AE196" s="36">
        <f>D196*AD196/1000</f>
        <v>2.1656</v>
      </c>
    </row>
    <row r="198" spans="1:31">
      <c r="A198" s="13" t="s">
        <v>94</v>
      </c>
      <c r="B198" s="13" t="s">
        <v>1</v>
      </c>
    </row>
    <row r="199" spans="1:31">
      <c r="A199" s="13" t="s">
        <v>199</v>
      </c>
      <c r="B199" s="38">
        <f>AE199+AE205+AE209+AE223+AE231+AE236</f>
        <v>100.11660000000001</v>
      </c>
      <c r="C199" s="13" t="s">
        <v>28</v>
      </c>
      <c r="D199" s="1">
        <v>40</v>
      </c>
      <c r="AE199" s="37">
        <f>AE200+AE201+AE202+AE203</f>
        <v>1.9912000000000001</v>
      </c>
    </row>
    <row r="200" spans="1:31">
      <c r="E200" s="237" t="s">
        <v>31</v>
      </c>
      <c r="F200" s="238"/>
      <c r="G200" s="238"/>
      <c r="H200" s="238"/>
      <c r="I200" s="238"/>
      <c r="J200" s="238"/>
      <c r="K200" s="238"/>
      <c r="L200" s="238"/>
      <c r="M200" s="238"/>
      <c r="N200" s="238"/>
      <c r="O200" s="238"/>
      <c r="P200" s="238"/>
      <c r="Q200" s="238"/>
      <c r="R200" s="238"/>
      <c r="S200" s="239"/>
      <c r="T200" s="233">
        <v>54</v>
      </c>
      <c r="U200" s="234"/>
      <c r="AD200" s="10">
        <v>30</v>
      </c>
      <c r="AE200" s="10">
        <f>AD200*T200/1000</f>
        <v>1.62</v>
      </c>
    </row>
    <row r="201" spans="1:31">
      <c r="E201" s="237" t="s">
        <v>32</v>
      </c>
      <c r="F201" s="238"/>
      <c r="G201" s="238"/>
      <c r="H201" s="238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9"/>
      <c r="T201" s="233">
        <v>2.5</v>
      </c>
      <c r="U201" s="234"/>
      <c r="AD201" s="10">
        <v>140</v>
      </c>
      <c r="AE201" s="10">
        <f t="shared" ref="AE201:AE203" si="17">AD201*T201/1000</f>
        <v>0.35</v>
      </c>
    </row>
    <row r="202" spans="1:31">
      <c r="E202" s="237" t="s">
        <v>19</v>
      </c>
      <c r="F202" s="238"/>
      <c r="G202" s="238"/>
      <c r="H202" s="238"/>
      <c r="I202" s="238"/>
      <c r="J202" s="238"/>
      <c r="K202" s="238"/>
      <c r="L202" s="238"/>
      <c r="M202" s="238"/>
      <c r="N202" s="238"/>
      <c r="O202" s="238"/>
      <c r="P202" s="238"/>
      <c r="Q202" s="238"/>
      <c r="R202" s="238"/>
      <c r="S202" s="239"/>
      <c r="T202" s="233">
        <v>0.6</v>
      </c>
      <c r="U202" s="234"/>
      <c r="AD202" s="10">
        <v>17</v>
      </c>
      <c r="AE202" s="10">
        <f t="shared" si="17"/>
        <v>1.0199999999999999E-2</v>
      </c>
    </row>
    <row r="203" spans="1:31">
      <c r="E203" s="237" t="s">
        <v>20</v>
      </c>
      <c r="F203" s="238"/>
      <c r="G203" s="238"/>
      <c r="H203" s="238"/>
      <c r="I203" s="238"/>
      <c r="J203" s="238"/>
      <c r="K203" s="238"/>
      <c r="L203" s="238"/>
      <c r="M203" s="238"/>
      <c r="N203" s="238"/>
      <c r="O203" s="238"/>
      <c r="P203" s="238"/>
      <c r="Q203" s="238"/>
      <c r="R203" s="238"/>
      <c r="S203" s="239"/>
      <c r="T203" s="235">
        <v>0.2</v>
      </c>
      <c r="U203" s="236"/>
      <c r="AD203" s="10">
        <v>55</v>
      </c>
      <c r="AE203" s="10">
        <f t="shared" si="17"/>
        <v>1.0999999999999999E-2</v>
      </c>
    </row>
    <row r="204" spans="1:31"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20"/>
      <c r="U204" s="20"/>
    </row>
    <row r="205" spans="1:31">
      <c r="C205" s="25" t="s">
        <v>189</v>
      </c>
      <c r="D205" s="74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20"/>
      <c r="U205" s="20">
        <v>20</v>
      </c>
      <c r="AD205" s="10">
        <v>140</v>
      </c>
      <c r="AE205" s="75">
        <f>U205*AD205/1000</f>
        <v>2.8</v>
      </c>
    </row>
    <row r="207" spans="1:31">
      <c r="C207" s="106" t="s">
        <v>76</v>
      </c>
      <c r="D207" s="107">
        <v>30</v>
      </c>
      <c r="E207" s="345" t="s">
        <v>77</v>
      </c>
      <c r="F207" s="345"/>
      <c r="G207" s="345"/>
      <c r="H207" s="345"/>
      <c r="I207" s="345"/>
      <c r="J207" s="345"/>
      <c r="K207" s="345"/>
      <c r="L207" s="345"/>
      <c r="M207" s="345"/>
      <c r="N207" s="345"/>
      <c r="O207" s="345"/>
      <c r="P207" s="345"/>
      <c r="Q207" s="345"/>
      <c r="R207" s="345"/>
      <c r="S207" s="345"/>
      <c r="T207" s="346">
        <v>32.4</v>
      </c>
      <c r="U207" s="346"/>
      <c r="V207" s="107"/>
      <c r="W207" s="107"/>
      <c r="X207" s="107"/>
      <c r="Y207" s="107"/>
      <c r="Z207" s="107"/>
      <c r="AA207" s="107"/>
      <c r="AB207" s="107"/>
      <c r="AC207" s="107"/>
      <c r="AD207" s="108">
        <v>160</v>
      </c>
      <c r="AE207" s="108">
        <f>T207*AD207/1000</f>
        <v>5.1840000000000002</v>
      </c>
    </row>
    <row r="209" spans="3:31" s="1" customFormat="1">
      <c r="C209" s="13" t="s">
        <v>101</v>
      </c>
      <c r="D209" s="1">
        <v>100</v>
      </c>
      <c r="T209" s="182" t="s">
        <v>11</v>
      </c>
      <c r="U209" s="182"/>
      <c r="V209" s="182" t="s">
        <v>12</v>
      </c>
      <c r="W209" s="182"/>
      <c r="AD209" s="10"/>
      <c r="AE209" s="37">
        <f>SUM(AE210:AE220)</f>
        <v>87.543700000000001</v>
      </c>
    </row>
    <row r="210" spans="3:31" s="1" customFormat="1">
      <c r="C210" s="13"/>
      <c r="E210" s="256" t="s">
        <v>63</v>
      </c>
      <c r="F210" s="256"/>
      <c r="G210" s="256"/>
      <c r="H210" s="256"/>
      <c r="I210" s="256"/>
      <c r="J210" s="256"/>
      <c r="K210" s="256"/>
      <c r="L210" s="256"/>
      <c r="M210" s="256"/>
      <c r="N210" s="256"/>
      <c r="O210" s="256"/>
      <c r="P210" s="256"/>
      <c r="Q210" s="256"/>
      <c r="R210" s="256"/>
      <c r="S210" s="256"/>
      <c r="T210" s="257">
        <v>155</v>
      </c>
      <c r="U210" s="257"/>
      <c r="V210" s="257">
        <v>115</v>
      </c>
      <c r="W210" s="257"/>
      <c r="AD210" s="10">
        <v>548</v>
      </c>
      <c r="AE210" s="10">
        <f>T210*AD210/1000</f>
        <v>84.94</v>
      </c>
    </row>
    <row r="211" spans="3:31" s="1" customFormat="1">
      <c r="C211" s="13"/>
      <c r="E211" s="237" t="s">
        <v>66</v>
      </c>
      <c r="F211" s="238"/>
      <c r="G211" s="238"/>
      <c r="H211" s="238"/>
      <c r="I211" s="238"/>
      <c r="J211" s="238"/>
      <c r="K211" s="238"/>
      <c r="L211" s="238"/>
      <c r="M211" s="238"/>
      <c r="N211" s="238"/>
      <c r="O211" s="238"/>
      <c r="P211" s="238"/>
      <c r="Q211" s="238"/>
      <c r="R211" s="238"/>
      <c r="S211" s="239"/>
      <c r="T211" s="233">
        <v>12</v>
      </c>
      <c r="U211" s="234"/>
      <c r="V211" s="233">
        <v>10</v>
      </c>
      <c r="W211" s="234"/>
      <c r="AD211" s="10">
        <v>20</v>
      </c>
      <c r="AE211" s="10">
        <f t="shared" ref="AE211:AE220" si="18">T211*AD211/1000</f>
        <v>0.24</v>
      </c>
    </row>
    <row r="212" spans="3:31" s="1" customFormat="1">
      <c r="C212" s="13"/>
      <c r="E212" s="237" t="s">
        <v>17</v>
      </c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9"/>
      <c r="T212" s="233">
        <v>10</v>
      </c>
      <c r="U212" s="234"/>
      <c r="V212" s="233">
        <v>10</v>
      </c>
      <c r="W212" s="234"/>
      <c r="AD212" s="10">
        <v>0</v>
      </c>
      <c r="AE212" s="10">
        <f t="shared" si="18"/>
        <v>0</v>
      </c>
    </row>
    <row r="213" spans="3:31" s="1" customFormat="1">
      <c r="C213" s="13"/>
      <c r="E213" s="237" t="s">
        <v>102</v>
      </c>
      <c r="F213" s="238"/>
      <c r="G213" s="238"/>
      <c r="H213" s="238"/>
      <c r="I213" s="238"/>
      <c r="J213" s="238"/>
      <c r="K213" s="238"/>
      <c r="L213" s="238"/>
      <c r="M213" s="238"/>
      <c r="N213" s="238"/>
      <c r="O213" s="238"/>
      <c r="P213" s="238"/>
      <c r="Q213" s="238"/>
      <c r="R213" s="238"/>
      <c r="S213" s="239"/>
      <c r="T213" s="233">
        <v>8</v>
      </c>
      <c r="U213" s="234"/>
      <c r="V213" s="233">
        <v>8</v>
      </c>
      <c r="W213" s="234"/>
      <c r="AD213" s="10">
        <v>140</v>
      </c>
      <c r="AE213" s="10">
        <f t="shared" si="18"/>
        <v>1.1200000000000001</v>
      </c>
    </row>
    <row r="214" spans="3:31" s="1" customFormat="1">
      <c r="C214" s="13"/>
      <c r="E214" s="237" t="s">
        <v>19</v>
      </c>
      <c r="F214" s="238"/>
      <c r="G214" s="238"/>
      <c r="H214" s="238"/>
      <c r="I214" s="238"/>
      <c r="J214" s="238"/>
      <c r="K214" s="238"/>
      <c r="L214" s="238"/>
      <c r="M214" s="238"/>
      <c r="N214" s="238"/>
      <c r="O214" s="238"/>
      <c r="P214" s="238"/>
      <c r="Q214" s="238"/>
      <c r="R214" s="238"/>
      <c r="S214" s="239"/>
      <c r="T214" s="235">
        <v>0.7</v>
      </c>
      <c r="U214" s="236"/>
      <c r="V214" s="233">
        <v>0.7</v>
      </c>
      <c r="W214" s="234"/>
      <c r="AD214" s="10">
        <v>17</v>
      </c>
      <c r="AE214" s="10">
        <f t="shared" si="18"/>
        <v>1.1899999999999999E-2</v>
      </c>
    </row>
    <row r="215" spans="3:31" s="1" customFormat="1">
      <c r="C215" s="13"/>
      <c r="E215" s="297" t="s">
        <v>103</v>
      </c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9"/>
      <c r="T215" s="233"/>
      <c r="U215" s="234"/>
      <c r="V215" s="233"/>
      <c r="W215" s="234"/>
      <c r="AD215" s="10"/>
      <c r="AE215" s="10">
        <f t="shared" si="18"/>
        <v>0</v>
      </c>
    </row>
    <row r="216" spans="3:31" s="1" customFormat="1">
      <c r="C216" s="13"/>
      <c r="E216" s="237" t="s">
        <v>16</v>
      </c>
      <c r="F216" s="238"/>
      <c r="G216" s="238"/>
      <c r="H216" s="238"/>
      <c r="I216" s="238"/>
      <c r="J216" s="238"/>
      <c r="K216" s="238"/>
      <c r="L216" s="238"/>
      <c r="M216" s="238"/>
      <c r="N216" s="238"/>
      <c r="O216" s="238"/>
      <c r="P216" s="238"/>
      <c r="Q216" s="238"/>
      <c r="R216" s="238"/>
      <c r="S216" s="239"/>
      <c r="T216" s="233">
        <v>10</v>
      </c>
      <c r="U216" s="234"/>
      <c r="V216" s="233">
        <v>10</v>
      </c>
      <c r="W216" s="234"/>
      <c r="AD216" s="10">
        <v>48.17</v>
      </c>
      <c r="AE216" s="10">
        <f t="shared" si="18"/>
        <v>0.48170000000000007</v>
      </c>
    </row>
    <row r="217" spans="3:31" s="1" customFormat="1">
      <c r="C217" s="13"/>
      <c r="E217" s="237" t="s">
        <v>104</v>
      </c>
      <c r="F217" s="238"/>
      <c r="G217" s="238"/>
      <c r="H217" s="238"/>
      <c r="I217" s="238"/>
      <c r="J217" s="238"/>
      <c r="K217" s="238"/>
      <c r="L217" s="238"/>
      <c r="M217" s="238"/>
      <c r="N217" s="238"/>
      <c r="O217" s="238"/>
      <c r="P217" s="238"/>
      <c r="Q217" s="238"/>
      <c r="R217" s="238"/>
      <c r="S217" s="239"/>
      <c r="T217" s="233">
        <v>5</v>
      </c>
      <c r="U217" s="234"/>
      <c r="V217" s="233">
        <v>5</v>
      </c>
      <c r="W217" s="234"/>
      <c r="AD217" s="10">
        <v>37</v>
      </c>
      <c r="AE217" s="10">
        <f t="shared" si="18"/>
        <v>0.185</v>
      </c>
    </row>
    <row r="218" spans="3:31" s="1" customFormat="1">
      <c r="C218" s="13"/>
      <c r="E218" s="237" t="s">
        <v>18</v>
      </c>
      <c r="F218" s="238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  <c r="Q218" s="238"/>
      <c r="R218" s="238"/>
      <c r="S218" s="239"/>
      <c r="T218" s="233">
        <v>1</v>
      </c>
      <c r="U218" s="234"/>
      <c r="V218" s="233">
        <v>1</v>
      </c>
      <c r="W218" s="234"/>
      <c r="AD218" s="10">
        <v>550</v>
      </c>
      <c r="AE218" s="10">
        <f t="shared" si="18"/>
        <v>0.55000000000000004</v>
      </c>
    </row>
    <row r="219" spans="3:31" s="1" customFormat="1">
      <c r="C219" s="13"/>
      <c r="E219" s="237" t="s">
        <v>105</v>
      </c>
      <c r="F219" s="238"/>
      <c r="G219" s="238"/>
      <c r="H219" s="238"/>
      <c r="I219" s="238"/>
      <c r="J219" s="238"/>
      <c r="K219" s="238"/>
      <c r="L219" s="238"/>
      <c r="M219" s="238"/>
      <c r="N219" s="238"/>
      <c r="O219" s="238"/>
      <c r="P219" s="238"/>
      <c r="Q219" s="238"/>
      <c r="R219" s="238"/>
      <c r="S219" s="239"/>
      <c r="T219" s="292">
        <v>0.01</v>
      </c>
      <c r="U219" s="293"/>
      <c r="V219" s="292">
        <v>0.01</v>
      </c>
      <c r="W219" s="293"/>
      <c r="AD219" s="10">
        <v>1000</v>
      </c>
      <c r="AE219" s="10">
        <f t="shared" si="18"/>
        <v>0.01</v>
      </c>
    </row>
    <row r="220" spans="3:31" s="1" customFormat="1">
      <c r="C220" s="13"/>
      <c r="E220" s="256" t="s">
        <v>19</v>
      </c>
      <c r="F220" s="256"/>
      <c r="G220" s="256"/>
      <c r="H220" s="256"/>
      <c r="I220" s="256"/>
      <c r="J220" s="256"/>
      <c r="K220" s="256"/>
      <c r="L220" s="256"/>
      <c r="M220" s="256"/>
      <c r="N220" s="256"/>
      <c r="O220" s="256"/>
      <c r="P220" s="256"/>
      <c r="Q220" s="256"/>
      <c r="R220" s="256"/>
      <c r="S220" s="256"/>
      <c r="T220" s="257">
        <v>0.3</v>
      </c>
      <c r="U220" s="257"/>
      <c r="V220" s="295">
        <v>0.3</v>
      </c>
      <c r="W220" s="296"/>
      <c r="AD220" s="10">
        <v>17</v>
      </c>
      <c r="AE220" s="10">
        <f t="shared" si="18"/>
        <v>5.0999999999999995E-3</v>
      </c>
    </row>
    <row r="221" spans="3:31" s="1" customFormat="1">
      <c r="C221" s="13"/>
      <c r="E221" s="289" t="s">
        <v>21</v>
      </c>
      <c r="F221" s="289"/>
      <c r="G221" s="289"/>
      <c r="H221" s="289"/>
      <c r="I221" s="289"/>
      <c r="J221" s="289"/>
      <c r="K221" s="289"/>
      <c r="L221" s="289"/>
      <c r="M221" s="289"/>
      <c r="N221" s="289"/>
      <c r="O221" s="289"/>
      <c r="P221" s="289"/>
      <c r="Q221" s="289"/>
      <c r="R221" s="289"/>
      <c r="S221" s="289"/>
      <c r="T221" s="290" t="s">
        <v>22</v>
      </c>
      <c r="U221" s="290"/>
      <c r="V221" s="290">
        <v>100</v>
      </c>
      <c r="W221" s="290"/>
      <c r="AD221" s="10"/>
      <c r="AE221" s="10"/>
    </row>
    <row r="223" spans="3:31" s="1" customFormat="1">
      <c r="C223" s="13" t="s">
        <v>106</v>
      </c>
      <c r="D223" s="1">
        <v>180</v>
      </c>
      <c r="T223" s="182" t="s">
        <v>11</v>
      </c>
      <c r="U223" s="182"/>
      <c r="V223" s="182" t="s">
        <v>12</v>
      </c>
      <c r="W223" s="182"/>
      <c r="AD223" s="10"/>
      <c r="AE223" s="37">
        <f>SUM(AE224:AE228)</f>
        <v>4.8351000000000006</v>
      </c>
    </row>
    <row r="224" spans="3:31" s="1" customFormat="1">
      <c r="C224" s="13"/>
      <c r="E224" s="256" t="s">
        <v>38</v>
      </c>
      <c r="F224" s="256"/>
      <c r="G224" s="256"/>
      <c r="H224" s="256"/>
      <c r="I224" s="256"/>
      <c r="J224" s="256"/>
      <c r="K224" s="256"/>
      <c r="L224" s="256"/>
      <c r="M224" s="256"/>
      <c r="N224" s="256"/>
      <c r="O224" s="256"/>
      <c r="P224" s="256"/>
      <c r="Q224" s="256"/>
      <c r="R224" s="256"/>
      <c r="S224" s="256"/>
      <c r="T224" s="257">
        <v>16</v>
      </c>
      <c r="U224" s="257"/>
      <c r="V224" s="257">
        <v>16</v>
      </c>
      <c r="W224" s="257"/>
      <c r="AD224" s="10">
        <v>75</v>
      </c>
      <c r="AE224" s="10">
        <f>T224*AD224/1000</f>
        <v>1.2</v>
      </c>
    </row>
    <row r="225" spans="1:31">
      <c r="E225" s="237" t="s">
        <v>17</v>
      </c>
      <c r="F225" s="238"/>
      <c r="G225" s="238"/>
      <c r="H225" s="238"/>
      <c r="I225" s="238"/>
      <c r="J225" s="238"/>
      <c r="K225" s="238"/>
      <c r="L225" s="238"/>
      <c r="M225" s="238"/>
      <c r="N225" s="238"/>
      <c r="O225" s="238"/>
      <c r="P225" s="238"/>
      <c r="Q225" s="238"/>
      <c r="R225" s="238"/>
      <c r="S225" s="239"/>
      <c r="T225" s="233">
        <v>142</v>
      </c>
      <c r="U225" s="234"/>
      <c r="V225" s="233">
        <v>142</v>
      </c>
      <c r="W225" s="234"/>
      <c r="AD225" s="10">
        <v>0</v>
      </c>
      <c r="AE225" s="10">
        <f t="shared" ref="AE225:AE228" si="19">T225*AD225/1000</f>
        <v>0</v>
      </c>
    </row>
    <row r="226" spans="1:31">
      <c r="E226" s="256" t="s">
        <v>51</v>
      </c>
      <c r="F226" s="256"/>
      <c r="G226" s="256"/>
      <c r="H226" s="256"/>
      <c r="I226" s="256"/>
      <c r="J226" s="256"/>
      <c r="K226" s="256"/>
      <c r="L226" s="256"/>
      <c r="M226" s="256"/>
      <c r="N226" s="256"/>
      <c r="O226" s="256"/>
      <c r="P226" s="256"/>
      <c r="Q226" s="256"/>
      <c r="R226" s="256"/>
      <c r="S226" s="256"/>
      <c r="T226" s="257">
        <v>20</v>
      </c>
      <c r="U226" s="257"/>
      <c r="V226" s="257">
        <v>20</v>
      </c>
      <c r="W226" s="257"/>
      <c r="AD226" s="10">
        <v>44</v>
      </c>
      <c r="AE226" s="10">
        <f t="shared" si="19"/>
        <v>0.88</v>
      </c>
    </row>
    <row r="227" spans="1:31">
      <c r="E227" s="256" t="s">
        <v>19</v>
      </c>
      <c r="F227" s="256"/>
      <c r="G227" s="256"/>
      <c r="H227" s="256"/>
      <c r="I227" s="256"/>
      <c r="J227" s="256"/>
      <c r="K227" s="256"/>
      <c r="L227" s="256"/>
      <c r="M227" s="256"/>
      <c r="N227" s="256"/>
      <c r="O227" s="256"/>
      <c r="P227" s="256"/>
      <c r="Q227" s="256"/>
      <c r="R227" s="256"/>
      <c r="S227" s="256"/>
      <c r="T227" s="257">
        <v>0.3</v>
      </c>
      <c r="U227" s="257"/>
      <c r="V227" s="257">
        <v>0.3</v>
      </c>
      <c r="W227" s="257"/>
      <c r="AD227" s="10">
        <v>17</v>
      </c>
      <c r="AE227" s="10">
        <f t="shared" si="19"/>
        <v>5.0999999999999995E-3</v>
      </c>
    </row>
    <row r="228" spans="1:31">
      <c r="E228" s="256" t="s">
        <v>18</v>
      </c>
      <c r="F228" s="256"/>
      <c r="G228" s="256"/>
      <c r="H228" s="256"/>
      <c r="I228" s="256"/>
      <c r="J228" s="256"/>
      <c r="K228" s="256"/>
      <c r="L228" s="256"/>
      <c r="M228" s="256"/>
      <c r="N228" s="256"/>
      <c r="O228" s="256"/>
      <c r="P228" s="256"/>
      <c r="Q228" s="256"/>
      <c r="R228" s="256"/>
      <c r="S228" s="256"/>
      <c r="T228" s="257">
        <v>5</v>
      </c>
      <c r="U228" s="257"/>
      <c r="V228" s="257">
        <v>5</v>
      </c>
      <c r="W228" s="257"/>
      <c r="AD228" s="10">
        <v>550</v>
      </c>
      <c r="AE228" s="10">
        <f t="shared" si="19"/>
        <v>2.75</v>
      </c>
    </row>
    <row r="229" spans="1:31">
      <c r="E229" s="289" t="s">
        <v>21</v>
      </c>
      <c r="F229" s="289"/>
      <c r="G229" s="289"/>
      <c r="H229" s="289"/>
      <c r="I229" s="289"/>
      <c r="J229" s="289"/>
      <c r="K229" s="289"/>
      <c r="L229" s="289"/>
      <c r="M229" s="289"/>
      <c r="N229" s="289"/>
      <c r="O229" s="289"/>
      <c r="P229" s="289"/>
      <c r="Q229" s="289"/>
      <c r="R229" s="289"/>
      <c r="S229" s="289"/>
      <c r="T229" s="290" t="s">
        <v>22</v>
      </c>
      <c r="U229" s="290"/>
      <c r="V229" s="291">
        <v>180</v>
      </c>
      <c r="W229" s="291"/>
    </row>
    <row r="231" spans="1:31">
      <c r="C231" s="13" t="s">
        <v>57</v>
      </c>
      <c r="D231" s="1">
        <v>200</v>
      </c>
      <c r="T231" s="182" t="s">
        <v>11</v>
      </c>
      <c r="U231" s="182"/>
      <c r="V231" s="182" t="s">
        <v>12</v>
      </c>
      <c r="W231" s="182"/>
      <c r="AE231" s="37">
        <f>AE232+AE233</f>
        <v>1.125</v>
      </c>
    </row>
    <row r="232" spans="1:31">
      <c r="E232" s="183" t="s">
        <v>58</v>
      </c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4">
        <v>0.6</v>
      </c>
      <c r="U232" s="184"/>
      <c r="V232" s="184">
        <v>0.6</v>
      </c>
      <c r="W232" s="184"/>
      <c r="AD232" s="10">
        <v>500</v>
      </c>
      <c r="AE232" s="10">
        <f>AD232*T232/1000</f>
        <v>0.3</v>
      </c>
    </row>
    <row r="233" spans="1:31">
      <c r="E233" s="185" t="s">
        <v>20</v>
      </c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7"/>
      <c r="T233" s="188">
        <v>15</v>
      </c>
      <c r="U233" s="189"/>
      <c r="V233" s="188">
        <v>15</v>
      </c>
      <c r="W233" s="189"/>
      <c r="AD233" s="10">
        <v>55</v>
      </c>
      <c r="AE233" s="10">
        <f>AD233*T233/1000</f>
        <v>0.82499999999999996</v>
      </c>
    </row>
    <row r="234" spans="1:31">
      <c r="E234" s="190" t="s">
        <v>21</v>
      </c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1" t="s">
        <v>22</v>
      </c>
      <c r="U234" s="191"/>
      <c r="V234" s="192">
        <v>200</v>
      </c>
      <c r="W234" s="192"/>
    </row>
    <row r="236" spans="1:31">
      <c r="C236" s="13" t="s">
        <v>26</v>
      </c>
      <c r="D236" s="1">
        <v>40</v>
      </c>
      <c r="AD236" s="10">
        <v>45.54</v>
      </c>
      <c r="AE236" s="37">
        <f>D236*AD236/1000</f>
        <v>1.8215999999999999</v>
      </c>
    </row>
    <row r="238" spans="1:31">
      <c r="A238" s="13" t="s">
        <v>197</v>
      </c>
      <c r="B238" s="13" t="s">
        <v>1</v>
      </c>
    </row>
    <row r="239" spans="1:31">
      <c r="A239" s="13" t="s">
        <v>201</v>
      </c>
      <c r="B239" s="46">
        <f>AE239+AE241+AE245+AE257+AE259</f>
        <v>72.154931269349859</v>
      </c>
      <c r="C239" s="13" t="s">
        <v>2</v>
      </c>
      <c r="D239" s="1">
        <v>100</v>
      </c>
      <c r="AD239" s="34">
        <v>62.4</v>
      </c>
      <c r="AE239" s="22">
        <f>D239*AD239/1000</f>
        <v>6.24</v>
      </c>
    </row>
    <row r="241" spans="3:31" s="1" customFormat="1">
      <c r="C241" s="13" t="s">
        <v>108</v>
      </c>
      <c r="D241" s="1">
        <v>30</v>
      </c>
      <c r="T241" s="40" t="s">
        <v>11</v>
      </c>
      <c r="U241" s="40" t="s">
        <v>12</v>
      </c>
      <c r="AD241" s="10"/>
      <c r="AE241" s="22">
        <f>AE242</f>
        <v>9.473684210526315</v>
      </c>
    </row>
    <row r="242" spans="3:31" s="1" customFormat="1">
      <c r="C242" s="13"/>
      <c r="E242" s="275" t="s">
        <v>109</v>
      </c>
      <c r="F242" s="276"/>
      <c r="G242" s="276"/>
      <c r="H242" s="276"/>
      <c r="I242" s="277"/>
      <c r="T242" s="92">
        <f>U243</f>
        <v>30</v>
      </c>
      <c r="U242" s="92">
        <f t="shared" ref="U242" si="20">T242</f>
        <v>30</v>
      </c>
      <c r="AD242" s="10">
        <v>120</v>
      </c>
      <c r="AE242" s="10">
        <f>AD242/380*T242</f>
        <v>9.473684210526315</v>
      </c>
    </row>
    <row r="243" spans="3:31" s="1" customFormat="1">
      <c r="C243" s="13"/>
      <c r="E243" s="278" t="s">
        <v>21</v>
      </c>
      <c r="F243" s="279"/>
      <c r="G243" s="279"/>
      <c r="H243" s="279"/>
      <c r="I243" s="280"/>
      <c r="T243" s="90" t="s">
        <v>22</v>
      </c>
      <c r="U243" s="91">
        <v>30</v>
      </c>
      <c r="AD243" s="10"/>
      <c r="AE243" s="10"/>
    </row>
    <row r="245" spans="3:31" s="1" customFormat="1">
      <c r="C245" s="13" t="s">
        <v>110</v>
      </c>
      <c r="D245" s="1">
        <v>200</v>
      </c>
      <c r="T245" s="182" t="s">
        <v>11</v>
      </c>
      <c r="U245" s="182"/>
      <c r="V245" s="182" t="s">
        <v>12</v>
      </c>
      <c r="W245" s="182"/>
      <c r="AD245" s="10"/>
      <c r="AE245" s="22">
        <f>SUM(AE246:AE254)</f>
        <v>45.275647058823544</v>
      </c>
    </row>
    <row r="246" spans="3:31" s="1" customFormat="1">
      <c r="C246" s="13"/>
      <c r="E246" s="256" t="s">
        <v>50</v>
      </c>
      <c r="F246" s="256"/>
      <c r="G246" s="256"/>
      <c r="H246" s="256"/>
      <c r="I246" s="256"/>
      <c r="J246" s="256"/>
      <c r="K246" s="256"/>
      <c r="L246" s="256"/>
      <c r="M246" s="256"/>
      <c r="N246" s="256"/>
      <c r="O246" s="256"/>
      <c r="P246" s="256"/>
      <c r="Q246" s="256"/>
      <c r="R246" s="256"/>
      <c r="S246" s="256"/>
      <c r="T246" s="294">
        <v>157.64705882352942</v>
      </c>
      <c r="U246" s="294"/>
      <c r="V246" s="294">
        <v>157.64705882352942</v>
      </c>
      <c r="W246" s="294"/>
      <c r="AD246" s="10">
        <v>239.45</v>
      </c>
      <c r="AE246" s="10">
        <f>AD246*T246/1000</f>
        <v>37.748588235294122</v>
      </c>
    </row>
    <row r="247" spans="3:31" s="1" customFormat="1">
      <c r="C247" s="13"/>
      <c r="E247" s="237" t="s">
        <v>38</v>
      </c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9"/>
      <c r="T247" s="292">
        <v>21.176470588235293</v>
      </c>
      <c r="U247" s="293"/>
      <c r="V247" s="294">
        <v>21.176470588235293</v>
      </c>
      <c r="W247" s="294"/>
      <c r="AD247" s="10">
        <v>75</v>
      </c>
      <c r="AE247" s="10">
        <f t="shared" ref="AE247:AE254" si="21">AD247*T247/1000</f>
        <v>1.588235294117647</v>
      </c>
    </row>
    <row r="248" spans="3:31" s="1" customFormat="1">
      <c r="C248" s="13"/>
      <c r="E248" s="237" t="s">
        <v>16</v>
      </c>
      <c r="F248" s="238"/>
      <c r="G248" s="238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9"/>
      <c r="T248" s="292">
        <v>47.058823529411768</v>
      </c>
      <c r="U248" s="293"/>
      <c r="V248" s="294">
        <v>47.058823529411768</v>
      </c>
      <c r="W248" s="294"/>
      <c r="AD248" s="10">
        <v>48.17</v>
      </c>
      <c r="AE248" s="10">
        <f t="shared" si="21"/>
        <v>2.2668235294117647</v>
      </c>
    </row>
    <row r="249" spans="3:31" s="1" customFormat="1">
      <c r="C249" s="13"/>
      <c r="E249" s="237" t="s">
        <v>53</v>
      </c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9"/>
      <c r="T249" s="292">
        <v>2.3529411764705882E-2</v>
      </c>
      <c r="U249" s="293"/>
      <c r="V249" s="294">
        <v>2.3529411764705882E-2</v>
      </c>
      <c r="W249" s="294"/>
      <c r="AD249" s="10">
        <v>1200</v>
      </c>
      <c r="AE249" s="10">
        <f t="shared" si="21"/>
        <v>2.8235294117647056E-2</v>
      </c>
    </row>
    <row r="250" spans="3:31" s="1" customFormat="1">
      <c r="C250" s="13"/>
      <c r="E250" s="237" t="s">
        <v>52</v>
      </c>
      <c r="F250" s="238"/>
      <c r="G250" s="238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9"/>
      <c r="T250" s="292">
        <v>10.588235294117647</v>
      </c>
      <c r="U250" s="293"/>
      <c r="V250" s="294">
        <v>10.588235294117647</v>
      </c>
      <c r="W250" s="294"/>
      <c r="AD250" s="10">
        <v>140</v>
      </c>
      <c r="AE250" s="10">
        <f t="shared" si="21"/>
        <v>1.4823529411764704</v>
      </c>
    </row>
    <row r="251" spans="3:31" s="1" customFormat="1">
      <c r="C251" s="13"/>
      <c r="E251" s="237" t="s">
        <v>20</v>
      </c>
      <c r="F251" s="238"/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9"/>
      <c r="T251" s="292">
        <v>3.5294117647058822</v>
      </c>
      <c r="U251" s="293"/>
      <c r="V251" s="294">
        <v>3.5294117647058822</v>
      </c>
      <c r="W251" s="294"/>
      <c r="AD251" s="10">
        <v>55</v>
      </c>
      <c r="AE251" s="10">
        <f t="shared" si="21"/>
        <v>0.19411764705882353</v>
      </c>
    </row>
    <row r="252" spans="3:31" s="1" customFormat="1">
      <c r="C252" s="13"/>
      <c r="E252" s="237" t="s">
        <v>55</v>
      </c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9"/>
      <c r="T252" s="292">
        <v>1.7647058823529411</v>
      </c>
      <c r="U252" s="293"/>
      <c r="V252" s="294">
        <v>1.7647058823529411</v>
      </c>
      <c r="W252" s="294"/>
      <c r="AD252" s="10">
        <v>150</v>
      </c>
      <c r="AE252" s="10">
        <f t="shared" si="21"/>
        <v>0.26470588235294118</v>
      </c>
    </row>
    <row r="253" spans="3:31" s="1" customFormat="1">
      <c r="C253" s="13"/>
      <c r="E253" s="237" t="s">
        <v>54</v>
      </c>
      <c r="F253" s="238"/>
      <c r="G253" s="238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9"/>
      <c r="T253" s="292">
        <v>2.3529411764705883</v>
      </c>
      <c r="U253" s="293"/>
      <c r="V253" s="294">
        <v>2.3529411764705883</v>
      </c>
      <c r="W253" s="294"/>
      <c r="AD253" s="10">
        <v>173.6</v>
      </c>
      <c r="AE253" s="10">
        <f t="shared" si="21"/>
        <v>0.40847058823529414</v>
      </c>
    </row>
    <row r="254" spans="3:31" s="1" customFormat="1">
      <c r="C254" s="13"/>
      <c r="E254" s="237" t="s">
        <v>18</v>
      </c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9"/>
      <c r="T254" s="292">
        <v>2.3529411764705883</v>
      </c>
      <c r="U254" s="293"/>
      <c r="V254" s="294">
        <v>2.3529411764705883</v>
      </c>
      <c r="W254" s="294"/>
      <c r="AD254" s="10">
        <v>550</v>
      </c>
      <c r="AE254" s="10">
        <f t="shared" si="21"/>
        <v>1.2941176470588236</v>
      </c>
    </row>
    <row r="255" spans="3:31" s="1" customFormat="1">
      <c r="C255" s="13"/>
      <c r="E255" s="289" t="s">
        <v>21</v>
      </c>
      <c r="F255" s="289"/>
      <c r="G255" s="289"/>
      <c r="H255" s="289"/>
      <c r="I255" s="289"/>
      <c r="J255" s="289"/>
      <c r="K255" s="289"/>
      <c r="L255" s="289"/>
      <c r="M255" s="289"/>
      <c r="N255" s="289"/>
      <c r="O255" s="289"/>
      <c r="P255" s="289"/>
      <c r="Q255" s="289"/>
      <c r="R255" s="289"/>
      <c r="S255" s="289"/>
      <c r="T255" s="290" t="s">
        <v>22</v>
      </c>
      <c r="U255" s="290"/>
      <c r="V255" s="291">
        <v>200</v>
      </c>
      <c r="W255" s="291"/>
      <c r="AD255" s="10"/>
      <c r="AE255" s="10"/>
    </row>
    <row r="257" spans="1:31">
      <c r="C257" s="13" t="s">
        <v>92</v>
      </c>
      <c r="D257" s="1">
        <v>200</v>
      </c>
      <c r="E257" s="183" t="s">
        <v>93</v>
      </c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281">
        <v>200</v>
      </c>
      <c r="U257" s="281"/>
      <c r="V257" s="281">
        <v>200</v>
      </c>
      <c r="W257" s="281"/>
      <c r="AD257" s="10">
        <v>45</v>
      </c>
      <c r="AE257" s="22">
        <f>T257*AD257/1000</f>
        <v>9</v>
      </c>
    </row>
    <row r="259" spans="1:31">
      <c r="C259" s="13" t="s">
        <v>59</v>
      </c>
      <c r="D259" s="1">
        <v>40</v>
      </c>
      <c r="AD259" s="10">
        <v>54.14</v>
      </c>
      <c r="AE259" s="22">
        <f>D259*AD259/1000</f>
        <v>2.1656</v>
      </c>
    </row>
    <row r="261" spans="1:31">
      <c r="A261" s="13" t="s">
        <v>198</v>
      </c>
      <c r="B261" s="13" t="s">
        <v>1</v>
      </c>
      <c r="C261" s="76" t="s">
        <v>193</v>
      </c>
      <c r="D261" s="30">
        <v>30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195" t="s">
        <v>11</v>
      </c>
      <c r="U261" s="195"/>
      <c r="V261" s="195" t="s">
        <v>12</v>
      </c>
      <c r="W261" s="195"/>
      <c r="X261" s="30"/>
      <c r="Y261" s="30"/>
      <c r="Z261" s="30"/>
      <c r="AA261" s="30"/>
      <c r="AB261" s="30"/>
      <c r="AC261" s="30"/>
      <c r="AD261" s="31"/>
      <c r="AE261" s="80">
        <f>SUM(AE262:AE266)</f>
        <v>4.8339416058394162</v>
      </c>
    </row>
    <row r="262" spans="1:31">
      <c r="A262" s="13" t="s">
        <v>202</v>
      </c>
      <c r="B262" s="45">
        <f>AE261+AE271+AE288+AE294+AE296+AE303</f>
        <v>65.984141605839426</v>
      </c>
      <c r="C262" s="76"/>
      <c r="D262" s="30"/>
      <c r="E262" s="196" t="s">
        <v>194</v>
      </c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7">
        <v>30</v>
      </c>
      <c r="U262" s="197"/>
      <c r="V262" s="197">
        <f>30*V267/30</f>
        <v>0</v>
      </c>
      <c r="W262" s="197"/>
      <c r="X262" s="30"/>
      <c r="Y262" s="30"/>
      <c r="Z262" s="30"/>
      <c r="AA262" s="30"/>
      <c r="AB262" s="30"/>
      <c r="AC262" s="30"/>
      <c r="AD262" s="31">
        <v>88.3</v>
      </c>
      <c r="AE262" s="31">
        <f>AD262/548*T262</f>
        <v>4.8339416058394162</v>
      </c>
    </row>
    <row r="263" spans="1:31">
      <c r="C263" s="76"/>
      <c r="D263" s="30"/>
      <c r="E263" s="253"/>
      <c r="F263" s="254"/>
      <c r="G263" s="254"/>
      <c r="H263" s="254"/>
      <c r="I263" s="254"/>
      <c r="J263" s="254"/>
      <c r="K263" s="254"/>
      <c r="L263" s="254"/>
      <c r="M263" s="254"/>
      <c r="N263" s="254"/>
      <c r="O263" s="254"/>
      <c r="P263" s="254"/>
      <c r="Q263" s="254"/>
      <c r="R263" s="254"/>
      <c r="S263" s="255"/>
      <c r="T263" s="251"/>
      <c r="U263" s="252"/>
      <c r="V263" s="251"/>
      <c r="W263" s="252"/>
      <c r="X263" s="30"/>
      <c r="Y263" s="30"/>
      <c r="Z263" s="30"/>
      <c r="AA263" s="30"/>
      <c r="AB263" s="30"/>
      <c r="AC263" s="30"/>
      <c r="AD263" s="31"/>
      <c r="AE263" s="31">
        <f t="shared" ref="AE263:AE266" si="22">T263*AD263/1000</f>
        <v>0</v>
      </c>
    </row>
    <row r="264" spans="1:31">
      <c r="C264" s="76"/>
      <c r="D264" s="30"/>
      <c r="E264" s="253"/>
      <c r="F264" s="254"/>
      <c r="G264" s="254"/>
      <c r="H264" s="254"/>
      <c r="I264" s="254"/>
      <c r="J264" s="254"/>
      <c r="K264" s="254"/>
      <c r="L264" s="254"/>
      <c r="M264" s="254"/>
      <c r="N264" s="254"/>
      <c r="O264" s="254"/>
      <c r="P264" s="254"/>
      <c r="Q264" s="254"/>
      <c r="R264" s="254"/>
      <c r="S264" s="255"/>
      <c r="T264" s="251"/>
      <c r="U264" s="252"/>
      <c r="V264" s="251"/>
      <c r="W264" s="252"/>
      <c r="X264" s="30"/>
      <c r="Y264" s="30"/>
      <c r="Z264" s="30"/>
      <c r="AA264" s="30"/>
      <c r="AB264" s="30"/>
      <c r="AC264" s="30"/>
      <c r="AD264" s="31"/>
      <c r="AE264" s="31">
        <f t="shared" si="22"/>
        <v>0</v>
      </c>
    </row>
    <row r="265" spans="1:31">
      <c r="C265" s="76"/>
      <c r="D265" s="30"/>
      <c r="E265" s="253"/>
      <c r="F265" s="254"/>
      <c r="G265" s="254"/>
      <c r="H265" s="254"/>
      <c r="I265" s="254"/>
      <c r="J265" s="254"/>
      <c r="K265" s="254"/>
      <c r="L265" s="254"/>
      <c r="M265" s="254"/>
      <c r="N265" s="254"/>
      <c r="O265" s="254"/>
      <c r="P265" s="254"/>
      <c r="Q265" s="254"/>
      <c r="R265" s="254"/>
      <c r="S265" s="255"/>
      <c r="T265" s="251"/>
      <c r="U265" s="252"/>
      <c r="V265" s="251"/>
      <c r="W265" s="252"/>
      <c r="X265" s="30"/>
      <c r="Y265" s="30"/>
      <c r="Z265" s="30"/>
      <c r="AA265" s="30"/>
      <c r="AB265" s="30"/>
      <c r="AC265" s="30"/>
      <c r="AD265" s="31"/>
      <c r="AE265" s="31">
        <f t="shared" si="22"/>
        <v>0</v>
      </c>
    </row>
    <row r="266" spans="1:31">
      <c r="C266" s="76"/>
      <c r="D266" s="30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7"/>
      <c r="U266" s="197"/>
      <c r="V266" s="197"/>
      <c r="W266" s="197"/>
      <c r="X266" s="30"/>
      <c r="Y266" s="30"/>
      <c r="Z266" s="30"/>
      <c r="AA266" s="30"/>
      <c r="AB266" s="30"/>
      <c r="AC266" s="30"/>
      <c r="AD266" s="31"/>
      <c r="AE266" s="31">
        <f t="shared" si="22"/>
        <v>0</v>
      </c>
    </row>
    <row r="267" spans="1:31">
      <c r="C267" s="76"/>
      <c r="D267" s="30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8"/>
      <c r="P267" s="198"/>
      <c r="Q267" s="198"/>
      <c r="R267" s="198"/>
      <c r="S267" s="198"/>
      <c r="T267" s="199"/>
      <c r="U267" s="199"/>
      <c r="V267" s="200"/>
      <c r="W267" s="200"/>
      <c r="X267" s="30"/>
      <c r="Y267" s="30"/>
      <c r="Z267" s="30"/>
      <c r="AA267" s="30"/>
      <c r="AB267" s="30"/>
      <c r="AC267" s="30"/>
      <c r="AD267" s="31"/>
      <c r="AE267" s="31"/>
    </row>
    <row r="269" spans="1:31">
      <c r="C269" s="103" t="s">
        <v>30</v>
      </c>
      <c r="D269" s="104">
        <v>40</v>
      </c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>
        <v>42</v>
      </c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5">
        <v>150</v>
      </c>
      <c r="AE269" s="105">
        <f>AD269*T269/1000</f>
        <v>6.3</v>
      </c>
    </row>
    <row r="271" spans="1:31">
      <c r="C271" s="13" t="s">
        <v>115</v>
      </c>
      <c r="D271" s="1" t="s">
        <v>116</v>
      </c>
      <c r="T271" s="182" t="s">
        <v>11</v>
      </c>
      <c r="U271" s="182"/>
      <c r="V271" s="182" t="s">
        <v>12</v>
      </c>
      <c r="W271" s="182"/>
      <c r="AE271" s="39">
        <f>SUM(AE272:AE285)</f>
        <v>46.551500000000004</v>
      </c>
    </row>
    <row r="272" spans="1:31">
      <c r="E272" s="183" t="s">
        <v>34</v>
      </c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4">
        <v>79</v>
      </c>
      <c r="U272" s="184"/>
      <c r="V272" s="184">
        <v>57</v>
      </c>
      <c r="W272" s="184"/>
      <c r="AD272" s="10">
        <v>548</v>
      </c>
      <c r="AE272" s="10">
        <f>T272*AD272/1000</f>
        <v>43.292000000000002</v>
      </c>
    </row>
    <row r="273" spans="3:31" s="1" customFormat="1">
      <c r="C273" s="13"/>
      <c r="E273" s="185" t="s">
        <v>117</v>
      </c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7"/>
      <c r="T273" s="188">
        <v>8</v>
      </c>
      <c r="U273" s="189"/>
      <c r="V273" s="188">
        <v>8</v>
      </c>
      <c r="W273" s="189"/>
      <c r="AD273" s="10">
        <v>0</v>
      </c>
      <c r="AE273" s="10">
        <f t="shared" ref="AE273:AE285" si="23">T273*AD273/1000</f>
        <v>0</v>
      </c>
    </row>
    <row r="274" spans="3:31" s="1" customFormat="1">
      <c r="C274" s="13"/>
      <c r="E274" s="185" t="s">
        <v>38</v>
      </c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7"/>
      <c r="T274" s="188">
        <v>7</v>
      </c>
      <c r="U274" s="189"/>
      <c r="V274" s="188">
        <v>9</v>
      </c>
      <c r="W274" s="189"/>
      <c r="AD274" s="10">
        <v>75</v>
      </c>
      <c r="AE274" s="10">
        <f t="shared" si="23"/>
        <v>0.52500000000000002</v>
      </c>
    </row>
    <row r="275" spans="3:31" s="1" customFormat="1">
      <c r="C275" s="13"/>
      <c r="E275" s="185" t="s">
        <v>66</v>
      </c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7"/>
      <c r="T275" s="188">
        <v>28</v>
      </c>
      <c r="U275" s="189"/>
      <c r="V275" s="188">
        <v>29</v>
      </c>
      <c r="W275" s="189"/>
      <c r="AD275" s="10">
        <v>20</v>
      </c>
      <c r="AE275" s="10">
        <f t="shared" si="23"/>
        <v>0.56000000000000005</v>
      </c>
    </row>
    <row r="276" spans="3:31" s="1" customFormat="1">
      <c r="C276" s="13"/>
      <c r="E276" s="185" t="s">
        <v>32</v>
      </c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7"/>
      <c r="T276" s="285">
        <v>4</v>
      </c>
      <c r="U276" s="286"/>
      <c r="V276" s="188">
        <v>5</v>
      </c>
      <c r="W276" s="189"/>
      <c r="AD276" s="10">
        <v>140</v>
      </c>
      <c r="AE276" s="10">
        <f t="shared" si="23"/>
        <v>0.56000000000000005</v>
      </c>
    </row>
    <row r="277" spans="3:31" s="1" customFormat="1">
      <c r="C277" s="13"/>
      <c r="E277" s="185" t="s">
        <v>104</v>
      </c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7"/>
      <c r="T277" s="188">
        <v>5</v>
      </c>
      <c r="U277" s="189"/>
      <c r="V277" s="188">
        <v>6</v>
      </c>
      <c r="W277" s="189"/>
      <c r="AD277" s="10">
        <v>37</v>
      </c>
      <c r="AE277" s="10">
        <f t="shared" si="23"/>
        <v>0.185</v>
      </c>
    </row>
    <row r="278" spans="3:31" s="1" customFormat="1">
      <c r="C278" s="13"/>
      <c r="E278" s="272" t="s">
        <v>118</v>
      </c>
      <c r="F278" s="273"/>
      <c r="G278" s="273"/>
      <c r="H278" s="273"/>
      <c r="I278" s="273"/>
      <c r="J278" s="273"/>
      <c r="K278" s="273"/>
      <c r="L278" s="273"/>
      <c r="M278" s="273"/>
      <c r="N278" s="273"/>
      <c r="O278" s="273"/>
      <c r="P278" s="273"/>
      <c r="Q278" s="273"/>
      <c r="R278" s="273"/>
      <c r="S278" s="274"/>
      <c r="T278" s="188"/>
      <c r="U278" s="189"/>
      <c r="V278" s="188"/>
      <c r="W278" s="189"/>
      <c r="AD278" s="10"/>
      <c r="AE278" s="10">
        <f t="shared" si="23"/>
        <v>0</v>
      </c>
    </row>
    <row r="279" spans="3:31" s="1" customFormat="1">
      <c r="C279" s="13"/>
      <c r="E279" s="185" t="s">
        <v>54</v>
      </c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7"/>
      <c r="T279" s="188">
        <v>4.5</v>
      </c>
      <c r="U279" s="189"/>
      <c r="V279" s="188">
        <v>4.5</v>
      </c>
      <c r="W279" s="189"/>
      <c r="AD279" s="10">
        <v>173.6</v>
      </c>
      <c r="AE279" s="10">
        <f t="shared" si="23"/>
        <v>0.78119999999999989</v>
      </c>
    </row>
    <row r="280" spans="3:31" s="1" customFormat="1">
      <c r="C280" s="13"/>
      <c r="E280" s="185" t="s">
        <v>104</v>
      </c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7"/>
      <c r="T280" s="188">
        <v>1.3</v>
      </c>
      <c r="U280" s="189"/>
      <c r="V280" s="188">
        <v>1.3</v>
      </c>
      <c r="W280" s="189"/>
      <c r="AD280" s="10">
        <v>37</v>
      </c>
      <c r="AE280" s="10">
        <f t="shared" si="23"/>
        <v>4.8100000000000004E-2</v>
      </c>
    </row>
    <row r="281" spans="3:31" s="1" customFormat="1">
      <c r="C281" s="13"/>
      <c r="E281" s="185" t="s">
        <v>17</v>
      </c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7"/>
      <c r="T281" s="188">
        <v>13.5</v>
      </c>
      <c r="U281" s="189"/>
      <c r="V281" s="188">
        <v>13.5</v>
      </c>
      <c r="W281" s="189"/>
      <c r="AD281" s="10">
        <v>0</v>
      </c>
      <c r="AE281" s="10">
        <f t="shared" si="23"/>
        <v>0</v>
      </c>
    </row>
    <row r="282" spans="3:31" s="1" customFormat="1">
      <c r="C282" s="13"/>
      <c r="E282" s="185" t="s">
        <v>66</v>
      </c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7"/>
      <c r="T282" s="188">
        <v>5</v>
      </c>
      <c r="U282" s="189"/>
      <c r="V282" s="188">
        <v>4</v>
      </c>
      <c r="W282" s="189"/>
      <c r="AD282" s="10">
        <v>20</v>
      </c>
      <c r="AE282" s="10">
        <f t="shared" si="23"/>
        <v>0.1</v>
      </c>
    </row>
    <row r="283" spans="3:31" s="1" customFormat="1">
      <c r="C283" s="13"/>
      <c r="E283" s="185" t="s">
        <v>18</v>
      </c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7"/>
      <c r="T283" s="188">
        <v>0.4</v>
      </c>
      <c r="U283" s="189"/>
      <c r="V283" s="188">
        <v>0.4</v>
      </c>
      <c r="W283" s="189"/>
      <c r="AD283" s="10">
        <v>550</v>
      </c>
      <c r="AE283" s="10">
        <f t="shared" si="23"/>
        <v>0.22</v>
      </c>
    </row>
    <row r="284" spans="3:31" s="1" customFormat="1">
      <c r="C284" s="13"/>
      <c r="E284" s="183" t="s">
        <v>19</v>
      </c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4">
        <v>0.6</v>
      </c>
      <c r="U284" s="184"/>
      <c r="V284" s="184">
        <v>0.6</v>
      </c>
      <c r="W284" s="184"/>
      <c r="AD284" s="10">
        <v>17</v>
      </c>
      <c r="AE284" s="10">
        <f t="shared" si="23"/>
        <v>1.0199999999999999E-2</v>
      </c>
    </row>
    <row r="285" spans="3:31" s="1" customFormat="1">
      <c r="C285" s="13"/>
      <c r="E285" s="282" t="s">
        <v>119</v>
      </c>
      <c r="F285" s="283"/>
      <c r="G285" s="283"/>
      <c r="H285" s="283"/>
      <c r="I285" s="283"/>
      <c r="J285" s="283"/>
      <c r="K285" s="283"/>
      <c r="L285" s="283"/>
      <c r="M285" s="283"/>
      <c r="N285" s="283"/>
      <c r="O285" s="283"/>
      <c r="P285" s="283"/>
      <c r="Q285" s="283"/>
      <c r="R285" s="283"/>
      <c r="S285" s="284"/>
      <c r="T285" s="287">
        <v>2</v>
      </c>
      <c r="U285" s="288"/>
      <c r="V285" s="287">
        <v>2</v>
      </c>
      <c r="W285" s="288"/>
      <c r="AD285" s="10">
        <v>135</v>
      </c>
      <c r="AE285" s="10">
        <f t="shared" si="23"/>
        <v>0.27</v>
      </c>
    </row>
    <row r="286" spans="3:31" s="1" customFormat="1">
      <c r="C286" s="13"/>
      <c r="E286" s="190" t="s">
        <v>21</v>
      </c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1" t="s">
        <v>22</v>
      </c>
      <c r="U286" s="191"/>
      <c r="V286" s="191" t="s">
        <v>116</v>
      </c>
      <c r="W286" s="191"/>
      <c r="AD286" s="10"/>
      <c r="AE286" s="10"/>
    </row>
    <row r="288" spans="3:31" s="1" customFormat="1">
      <c r="C288" s="13" t="s">
        <v>68</v>
      </c>
      <c r="D288" s="1">
        <v>180</v>
      </c>
      <c r="T288" s="182" t="s">
        <v>11</v>
      </c>
      <c r="U288" s="182"/>
      <c r="V288" s="182" t="s">
        <v>12</v>
      </c>
      <c r="W288" s="182"/>
      <c r="AD288" s="10"/>
      <c r="AE288" s="39">
        <f>SUM(AE289:AE291)</f>
        <v>5.6151</v>
      </c>
    </row>
    <row r="289" spans="3:31" s="1" customFormat="1">
      <c r="C289" s="13"/>
      <c r="E289" s="256" t="s">
        <v>69</v>
      </c>
      <c r="F289" s="256"/>
      <c r="G289" s="256"/>
      <c r="H289" s="256"/>
      <c r="I289" s="256"/>
      <c r="J289" s="256"/>
      <c r="K289" s="256"/>
      <c r="L289" s="256"/>
      <c r="M289" s="256"/>
      <c r="N289" s="256"/>
      <c r="O289" s="256"/>
      <c r="P289" s="256"/>
      <c r="Q289" s="256"/>
      <c r="R289" s="256"/>
      <c r="S289" s="256"/>
      <c r="T289" s="257">
        <v>62</v>
      </c>
      <c r="U289" s="257"/>
      <c r="V289" s="257">
        <v>62</v>
      </c>
      <c r="W289" s="257"/>
      <c r="AD289" s="10">
        <v>55</v>
      </c>
      <c r="AE289" s="10">
        <f>T289*AD289/1000</f>
        <v>3.41</v>
      </c>
    </row>
    <row r="290" spans="3:31" s="1" customFormat="1">
      <c r="C290" s="13"/>
      <c r="E290" s="256" t="s">
        <v>19</v>
      </c>
      <c r="F290" s="256"/>
      <c r="G290" s="256"/>
      <c r="H290" s="256"/>
      <c r="I290" s="256"/>
      <c r="J290" s="256"/>
      <c r="K290" s="256"/>
      <c r="L290" s="256"/>
      <c r="M290" s="256"/>
      <c r="N290" s="256"/>
      <c r="O290" s="256"/>
      <c r="P290" s="256"/>
      <c r="Q290" s="256"/>
      <c r="R290" s="256"/>
      <c r="S290" s="256"/>
      <c r="T290" s="257">
        <v>0.3</v>
      </c>
      <c r="U290" s="257"/>
      <c r="V290" s="257">
        <v>0.3</v>
      </c>
      <c r="W290" s="257"/>
      <c r="AD290" s="10">
        <v>17</v>
      </c>
      <c r="AE290" s="10">
        <f t="shared" ref="AE290:AE291" si="24">T290*AD290/1000</f>
        <v>5.0999999999999995E-3</v>
      </c>
    </row>
    <row r="291" spans="3:31" s="1" customFormat="1">
      <c r="C291" s="13"/>
      <c r="E291" s="256" t="s">
        <v>18</v>
      </c>
      <c r="F291" s="256"/>
      <c r="G291" s="256"/>
      <c r="H291" s="256"/>
      <c r="I291" s="256"/>
      <c r="J291" s="256"/>
      <c r="K291" s="256"/>
      <c r="L291" s="256"/>
      <c r="M291" s="256"/>
      <c r="N291" s="256"/>
      <c r="O291" s="256"/>
      <c r="P291" s="256"/>
      <c r="Q291" s="256"/>
      <c r="R291" s="256"/>
      <c r="S291" s="256"/>
      <c r="T291" s="257">
        <v>4</v>
      </c>
      <c r="U291" s="257"/>
      <c r="V291" s="257">
        <v>4</v>
      </c>
      <c r="W291" s="257"/>
      <c r="AD291" s="10">
        <v>550</v>
      </c>
      <c r="AE291" s="10">
        <f t="shared" si="24"/>
        <v>2.2000000000000002</v>
      </c>
    </row>
    <row r="292" spans="3:31" s="1" customFormat="1">
      <c r="C292" s="13"/>
      <c r="E292" s="289" t="s">
        <v>21</v>
      </c>
      <c r="F292" s="289"/>
      <c r="G292" s="289"/>
      <c r="H292" s="289"/>
      <c r="I292" s="289"/>
      <c r="J292" s="289"/>
      <c r="K292" s="289"/>
      <c r="L292" s="289"/>
      <c r="M292" s="289"/>
      <c r="N292" s="289"/>
      <c r="O292" s="289"/>
      <c r="P292" s="289"/>
      <c r="Q292" s="289"/>
      <c r="R292" s="289"/>
      <c r="S292" s="289"/>
      <c r="T292" s="290" t="s">
        <v>22</v>
      </c>
      <c r="U292" s="290"/>
      <c r="V292" s="291">
        <v>180</v>
      </c>
      <c r="W292" s="291"/>
      <c r="AD292" s="10"/>
      <c r="AE292" s="10"/>
    </row>
    <row r="294" spans="3:31" s="1" customFormat="1">
      <c r="C294" s="76" t="s">
        <v>2</v>
      </c>
      <c r="D294" s="30">
        <v>100</v>
      </c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1">
        <v>0</v>
      </c>
      <c r="AE294" s="109">
        <f>AD294*D294/1000</f>
        <v>0</v>
      </c>
    </row>
    <row r="296" spans="3:31" s="1" customFormat="1">
      <c r="C296" s="13" t="s">
        <v>39</v>
      </c>
      <c r="D296" s="1">
        <v>200</v>
      </c>
      <c r="T296" s="182" t="s">
        <v>11</v>
      </c>
      <c r="U296" s="182"/>
      <c r="V296" s="182" t="s">
        <v>12</v>
      </c>
      <c r="W296" s="182"/>
      <c r="AD296" s="10"/>
      <c r="AE296" s="39">
        <f>SUM(AE297:AE300)</f>
        <v>7.1619999999999999</v>
      </c>
    </row>
    <row r="297" spans="3:31" s="1" customFormat="1">
      <c r="C297" s="13"/>
      <c r="E297" s="183" t="s">
        <v>40</v>
      </c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4">
        <v>4</v>
      </c>
      <c r="U297" s="184"/>
      <c r="V297" s="184">
        <v>4</v>
      </c>
      <c r="W297" s="184"/>
      <c r="AD297" s="10">
        <v>380</v>
      </c>
      <c r="AE297" s="10">
        <f>AD297*T297/1000</f>
        <v>1.52</v>
      </c>
    </row>
    <row r="298" spans="3:31" s="1" customFormat="1">
      <c r="C298" s="13"/>
      <c r="E298" s="185" t="s">
        <v>20</v>
      </c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7"/>
      <c r="T298" s="188">
        <v>15</v>
      </c>
      <c r="U298" s="189"/>
      <c r="V298" s="188">
        <v>15</v>
      </c>
      <c r="W298" s="189"/>
      <c r="AD298" s="10">
        <v>55</v>
      </c>
      <c r="AE298" s="10">
        <f t="shared" ref="AE298:AE300" si="25">AD298*T298/1000</f>
        <v>0.82499999999999996</v>
      </c>
    </row>
    <row r="299" spans="3:31" s="1" customFormat="1">
      <c r="C299" s="13"/>
      <c r="E299" s="185" t="s">
        <v>41</v>
      </c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7"/>
      <c r="T299" s="188">
        <v>100</v>
      </c>
      <c r="U299" s="189"/>
      <c r="V299" s="188">
        <v>100</v>
      </c>
      <c r="W299" s="189"/>
      <c r="AD299" s="10">
        <v>48.17</v>
      </c>
      <c r="AE299" s="10">
        <f t="shared" si="25"/>
        <v>4.8170000000000002</v>
      </c>
    </row>
    <row r="300" spans="3:31" s="1" customFormat="1">
      <c r="C300" s="13"/>
      <c r="E300" s="185" t="s">
        <v>17</v>
      </c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7"/>
      <c r="T300" s="188">
        <v>81</v>
      </c>
      <c r="U300" s="189"/>
      <c r="V300" s="188">
        <v>81</v>
      </c>
      <c r="W300" s="189"/>
      <c r="AD300" s="10">
        <v>0</v>
      </c>
      <c r="AE300" s="10">
        <f t="shared" si="25"/>
        <v>0</v>
      </c>
    </row>
    <row r="301" spans="3:31" s="1" customFormat="1">
      <c r="C301" s="13"/>
      <c r="E301" s="190" t="s">
        <v>21</v>
      </c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1" t="s">
        <v>22</v>
      </c>
      <c r="U301" s="191"/>
      <c r="V301" s="192">
        <v>200</v>
      </c>
      <c r="W301" s="192"/>
      <c r="AD301" s="10"/>
      <c r="AE301" s="10"/>
    </row>
    <row r="303" spans="3:31" s="1" customFormat="1">
      <c r="C303" s="13" t="s">
        <v>26</v>
      </c>
      <c r="D303" s="1">
        <v>40</v>
      </c>
      <c r="AD303" s="10">
        <v>45.54</v>
      </c>
      <c r="AE303" s="39">
        <f>D303*AD303/1000</f>
        <v>1.8215999999999999</v>
      </c>
    </row>
    <row r="305" spans="1:31">
      <c r="A305" s="13" t="s">
        <v>111</v>
      </c>
      <c r="B305" s="13">
        <f>AE305+AE311+AE313+AE322+AE324+AE329</f>
        <v>44.747950000000003</v>
      </c>
      <c r="C305" s="25" t="s">
        <v>28</v>
      </c>
      <c r="D305" s="74">
        <v>40</v>
      </c>
      <c r="AE305" s="18">
        <f>AE306+AE307+AE308+AE309</f>
        <v>1.9912000000000001</v>
      </c>
    </row>
    <row r="306" spans="1:31">
      <c r="A306" s="13" t="s">
        <v>203</v>
      </c>
      <c r="C306" s="25"/>
      <c r="D306" s="74"/>
      <c r="E306" s="237" t="s">
        <v>31</v>
      </c>
      <c r="F306" s="238"/>
      <c r="G306" s="238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9"/>
      <c r="T306" s="233">
        <v>54</v>
      </c>
      <c r="U306" s="234"/>
      <c r="AD306" s="10">
        <v>30</v>
      </c>
      <c r="AE306" s="10">
        <f>AD306*T306/1000</f>
        <v>1.62</v>
      </c>
    </row>
    <row r="307" spans="1:31">
      <c r="C307" s="25"/>
      <c r="D307" s="74"/>
      <c r="E307" s="237" t="s">
        <v>32</v>
      </c>
      <c r="F307" s="238"/>
      <c r="G307" s="238"/>
      <c r="H307" s="238"/>
      <c r="I307" s="238"/>
      <c r="J307" s="238"/>
      <c r="K307" s="238"/>
      <c r="L307" s="238"/>
      <c r="M307" s="238"/>
      <c r="N307" s="238"/>
      <c r="O307" s="238"/>
      <c r="P307" s="238"/>
      <c r="Q307" s="238"/>
      <c r="R307" s="238"/>
      <c r="S307" s="239"/>
      <c r="T307" s="233">
        <v>2.5</v>
      </c>
      <c r="U307" s="234"/>
      <c r="AD307" s="10">
        <v>140</v>
      </c>
      <c r="AE307" s="10">
        <f t="shared" ref="AE307:AE309" si="26">AD307*T307/1000</f>
        <v>0.35</v>
      </c>
    </row>
    <row r="308" spans="1:31">
      <c r="C308" s="25"/>
      <c r="D308" s="74"/>
      <c r="E308" s="237" t="s">
        <v>19</v>
      </c>
      <c r="F308" s="238"/>
      <c r="G308" s="238"/>
      <c r="H308" s="238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9"/>
      <c r="T308" s="233">
        <v>0.6</v>
      </c>
      <c r="U308" s="234"/>
      <c r="AD308" s="10">
        <v>17</v>
      </c>
      <c r="AE308" s="10">
        <f t="shared" si="26"/>
        <v>1.0199999999999999E-2</v>
      </c>
    </row>
    <row r="309" spans="1:31">
      <c r="C309" s="25"/>
      <c r="D309" s="74"/>
      <c r="E309" s="237" t="s">
        <v>20</v>
      </c>
      <c r="F309" s="238"/>
      <c r="G309" s="238"/>
      <c r="H309" s="238"/>
      <c r="I309" s="238"/>
      <c r="J309" s="238"/>
      <c r="K309" s="238"/>
      <c r="L309" s="238"/>
      <c r="M309" s="238"/>
      <c r="N309" s="238"/>
      <c r="O309" s="238"/>
      <c r="P309" s="238"/>
      <c r="Q309" s="238"/>
      <c r="R309" s="238"/>
      <c r="S309" s="239"/>
      <c r="T309" s="235">
        <v>0.2</v>
      </c>
      <c r="U309" s="236"/>
      <c r="AD309" s="10">
        <v>55</v>
      </c>
      <c r="AE309" s="10">
        <f t="shared" si="26"/>
        <v>1.0999999999999999E-2</v>
      </c>
    </row>
    <row r="310" spans="1:31">
      <c r="C310" s="25"/>
      <c r="D310" s="74"/>
      <c r="E310" s="98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100"/>
      <c r="T310" s="101"/>
      <c r="U310" s="102"/>
    </row>
    <row r="311" spans="1:31">
      <c r="C311" s="13" t="s">
        <v>97</v>
      </c>
      <c r="D311" s="1">
        <v>15</v>
      </c>
      <c r="E311" s="183" t="s">
        <v>78</v>
      </c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4">
        <v>15.75</v>
      </c>
      <c r="U311" s="184"/>
      <c r="V311" s="184">
        <v>15</v>
      </c>
      <c r="W311" s="184"/>
      <c r="AD311" s="10">
        <v>430.2</v>
      </c>
      <c r="AE311" s="36">
        <f>T311*AD311/1000</f>
        <v>6.7756499999999997</v>
      </c>
    </row>
    <row r="313" spans="1:31">
      <c r="C313" s="13" t="s">
        <v>80</v>
      </c>
      <c r="D313" s="1">
        <v>250</v>
      </c>
      <c r="T313" s="182" t="s">
        <v>11</v>
      </c>
      <c r="U313" s="182"/>
      <c r="V313" s="182" t="s">
        <v>12</v>
      </c>
      <c r="W313" s="182"/>
      <c r="AE313" s="29">
        <f>SUM(AE314:AE319)</f>
        <v>26.450500000000002</v>
      </c>
    </row>
    <row r="314" spans="1:31">
      <c r="E314" s="256" t="s">
        <v>52</v>
      </c>
      <c r="F314" s="256"/>
      <c r="G314" s="256"/>
      <c r="H314" s="256"/>
      <c r="I314" s="256"/>
      <c r="J314" s="256"/>
      <c r="K314" s="256"/>
      <c r="L314" s="256"/>
      <c r="M314" s="256"/>
      <c r="N314" s="256"/>
      <c r="O314" s="256"/>
      <c r="P314" s="256"/>
      <c r="Q314" s="256"/>
      <c r="R314" s="256"/>
      <c r="S314" s="256"/>
      <c r="T314" s="257">
        <v>125</v>
      </c>
      <c r="U314" s="257"/>
      <c r="V314" s="257">
        <v>125</v>
      </c>
      <c r="W314" s="257"/>
      <c r="AD314" s="10">
        <v>140</v>
      </c>
      <c r="AE314" s="10">
        <f>T314*AD314/1000</f>
        <v>17.5</v>
      </c>
    </row>
    <row r="315" spans="1:31">
      <c r="E315" s="237" t="s">
        <v>16</v>
      </c>
      <c r="F315" s="238"/>
      <c r="G315" s="238"/>
      <c r="H315" s="238"/>
      <c r="I315" s="238"/>
      <c r="J315" s="238"/>
      <c r="K315" s="238"/>
      <c r="L315" s="238"/>
      <c r="M315" s="238"/>
      <c r="N315" s="238"/>
      <c r="O315" s="238"/>
      <c r="P315" s="238"/>
      <c r="Q315" s="238"/>
      <c r="R315" s="238"/>
      <c r="S315" s="239"/>
      <c r="T315" s="233">
        <v>100</v>
      </c>
      <c r="U315" s="234"/>
      <c r="V315" s="257">
        <v>100</v>
      </c>
      <c r="W315" s="257"/>
      <c r="AD315" s="10">
        <v>48.17</v>
      </c>
      <c r="AE315" s="10">
        <f t="shared" ref="AE315:AE319" si="27">T315*AD315/1000</f>
        <v>4.8170000000000002</v>
      </c>
    </row>
    <row r="316" spans="1:31">
      <c r="E316" s="237" t="s">
        <v>18</v>
      </c>
      <c r="F316" s="238"/>
      <c r="G316" s="238"/>
      <c r="H316" s="238"/>
      <c r="I316" s="238"/>
      <c r="J316" s="238"/>
      <c r="K316" s="238"/>
      <c r="L316" s="238"/>
      <c r="M316" s="238"/>
      <c r="N316" s="238"/>
      <c r="O316" s="238"/>
      <c r="P316" s="238"/>
      <c r="Q316" s="238"/>
      <c r="R316" s="238"/>
      <c r="S316" s="239"/>
      <c r="T316" s="233">
        <v>3.75</v>
      </c>
      <c r="U316" s="234"/>
      <c r="V316" s="257">
        <v>3.75</v>
      </c>
      <c r="W316" s="257"/>
      <c r="AD316" s="10">
        <v>550</v>
      </c>
      <c r="AE316" s="10">
        <f t="shared" si="27"/>
        <v>2.0625</v>
      </c>
    </row>
    <row r="317" spans="1:31">
      <c r="E317" s="237" t="s">
        <v>17</v>
      </c>
      <c r="F317" s="238"/>
      <c r="G317" s="238"/>
      <c r="H317" s="238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9"/>
      <c r="T317" s="233">
        <v>56.25</v>
      </c>
      <c r="U317" s="234"/>
      <c r="V317" s="257">
        <v>56.25</v>
      </c>
      <c r="W317" s="257"/>
      <c r="AE317" s="10">
        <f t="shared" si="27"/>
        <v>0</v>
      </c>
    </row>
    <row r="318" spans="1:31">
      <c r="E318" s="237" t="s">
        <v>18</v>
      </c>
      <c r="F318" s="238"/>
      <c r="G318" s="238"/>
      <c r="H318" s="238"/>
      <c r="I318" s="238"/>
      <c r="J318" s="238"/>
      <c r="K318" s="238"/>
      <c r="L318" s="238"/>
      <c r="M318" s="238"/>
      <c r="N318" s="238"/>
      <c r="O318" s="238"/>
      <c r="P318" s="238"/>
      <c r="Q318" s="238"/>
      <c r="R318" s="238"/>
      <c r="S318" s="239"/>
      <c r="T318" s="235">
        <v>3.75</v>
      </c>
      <c r="U318" s="236"/>
      <c r="V318" s="257">
        <v>3.75</v>
      </c>
      <c r="W318" s="257"/>
      <c r="AD318" s="10">
        <v>550</v>
      </c>
      <c r="AE318" s="10">
        <f t="shared" si="27"/>
        <v>2.0625</v>
      </c>
    </row>
    <row r="319" spans="1:31">
      <c r="E319" s="256" t="s">
        <v>19</v>
      </c>
      <c r="F319" s="256"/>
      <c r="G319" s="256"/>
      <c r="H319" s="256"/>
      <c r="I319" s="256"/>
      <c r="J319" s="256"/>
      <c r="K319" s="256"/>
      <c r="L319" s="256"/>
      <c r="M319" s="256"/>
      <c r="N319" s="256"/>
      <c r="O319" s="256"/>
      <c r="P319" s="256"/>
      <c r="Q319" s="256"/>
      <c r="R319" s="256"/>
      <c r="S319" s="256"/>
      <c r="T319" s="257">
        <v>0.5</v>
      </c>
      <c r="U319" s="257"/>
      <c r="V319" s="257">
        <v>0.5</v>
      </c>
      <c r="W319" s="257"/>
      <c r="AD319" s="10">
        <v>17</v>
      </c>
      <c r="AE319" s="10">
        <f t="shared" si="27"/>
        <v>8.5000000000000006E-3</v>
      </c>
    </row>
    <row r="320" spans="1:31">
      <c r="E320" s="289" t="s">
        <v>21</v>
      </c>
      <c r="F320" s="289"/>
      <c r="G320" s="289"/>
      <c r="H320" s="289"/>
      <c r="I320" s="289"/>
      <c r="J320" s="289"/>
      <c r="K320" s="289"/>
      <c r="L320" s="289"/>
      <c r="M320" s="289"/>
      <c r="N320" s="289"/>
      <c r="O320" s="289"/>
      <c r="P320" s="289"/>
      <c r="Q320" s="289"/>
      <c r="R320" s="289"/>
      <c r="S320" s="289"/>
      <c r="T320" s="290" t="s">
        <v>22</v>
      </c>
      <c r="U320" s="290"/>
      <c r="V320" s="291">
        <v>250</v>
      </c>
      <c r="W320" s="291"/>
    </row>
    <row r="322" spans="1:31">
      <c r="A322" s="1"/>
      <c r="B322" s="1"/>
      <c r="C322" s="76" t="s">
        <v>2</v>
      </c>
      <c r="E322" s="183" t="s">
        <v>2</v>
      </c>
      <c r="F322" s="183"/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4">
        <v>100</v>
      </c>
      <c r="U322" s="184"/>
      <c r="V322" s="184">
        <v>100</v>
      </c>
      <c r="W322" s="184"/>
      <c r="AD322" s="10">
        <v>62.4</v>
      </c>
      <c r="AE322" s="36">
        <f>T322*AD322/1000</f>
        <v>6.24</v>
      </c>
    </row>
    <row r="324" spans="1:31">
      <c r="A324" s="1"/>
      <c r="B324" s="1"/>
      <c r="C324" s="13" t="s">
        <v>57</v>
      </c>
      <c r="D324" s="1">
        <v>200</v>
      </c>
      <c r="T324" s="182" t="s">
        <v>11</v>
      </c>
      <c r="U324" s="182"/>
      <c r="V324" s="182" t="s">
        <v>12</v>
      </c>
      <c r="W324" s="182"/>
      <c r="AE324" s="29">
        <f>AE325+AE326</f>
        <v>1.125</v>
      </c>
    </row>
    <row r="325" spans="1:31">
      <c r="A325" s="1"/>
      <c r="B325" s="1"/>
      <c r="E325" s="183" t="s">
        <v>58</v>
      </c>
      <c r="F325" s="183"/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84">
        <v>0.6</v>
      </c>
      <c r="U325" s="184"/>
      <c r="V325" s="184">
        <v>0.6</v>
      </c>
      <c r="W325" s="184"/>
      <c r="AD325" s="10">
        <v>500</v>
      </c>
      <c r="AE325" s="10">
        <f>AD325*T325/1000</f>
        <v>0.3</v>
      </c>
    </row>
    <row r="326" spans="1:31">
      <c r="A326" s="1"/>
      <c r="B326" s="1"/>
      <c r="E326" s="185" t="s">
        <v>20</v>
      </c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7"/>
      <c r="T326" s="188">
        <v>15</v>
      </c>
      <c r="U326" s="189"/>
      <c r="V326" s="188">
        <v>15</v>
      </c>
      <c r="W326" s="189"/>
      <c r="AD326" s="10">
        <v>55</v>
      </c>
      <c r="AE326" s="10">
        <f>AD326*T326/1000</f>
        <v>0.82499999999999996</v>
      </c>
    </row>
    <row r="327" spans="1:31">
      <c r="A327" s="1"/>
      <c r="B327" s="1"/>
      <c r="E327" s="190" t="s">
        <v>21</v>
      </c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1" t="s">
        <v>22</v>
      </c>
      <c r="U327" s="191"/>
      <c r="V327" s="192">
        <v>200</v>
      </c>
      <c r="W327" s="192"/>
    </row>
    <row r="329" spans="1:31">
      <c r="A329" s="1"/>
      <c r="B329" s="1"/>
      <c r="C329" s="13" t="s">
        <v>59</v>
      </c>
      <c r="D329" s="1">
        <v>40</v>
      </c>
      <c r="AD329" s="10">
        <v>54.14</v>
      </c>
      <c r="AE329" s="29">
        <f>D329*AD329/1000</f>
        <v>2.1656</v>
      </c>
    </row>
  </sheetData>
  <mergeCells count="690">
    <mergeCell ref="E316:S316"/>
    <mergeCell ref="T316:U316"/>
    <mergeCell ref="V316:W316"/>
    <mergeCell ref="T313:U313"/>
    <mergeCell ref="V313:W313"/>
    <mergeCell ref="E314:S314"/>
    <mergeCell ref="T314:U314"/>
    <mergeCell ref="V314:W314"/>
    <mergeCell ref="E307:S307"/>
    <mergeCell ref="T307:U307"/>
    <mergeCell ref="E309:S309"/>
    <mergeCell ref="T309:U309"/>
    <mergeCell ref="E311:S311"/>
    <mergeCell ref="T311:U311"/>
    <mergeCell ref="V311:W311"/>
    <mergeCell ref="E315:S315"/>
    <mergeCell ref="T315:U315"/>
    <mergeCell ref="V315:W315"/>
    <mergeCell ref="T308:U308"/>
    <mergeCell ref="E308:S308"/>
    <mergeCell ref="V322:W322"/>
    <mergeCell ref="E327:S327"/>
    <mergeCell ref="T327:U327"/>
    <mergeCell ref="V327:W327"/>
    <mergeCell ref="E326:S326"/>
    <mergeCell ref="T326:U326"/>
    <mergeCell ref="V326:W326"/>
    <mergeCell ref="E325:S325"/>
    <mergeCell ref="T325:U325"/>
    <mergeCell ref="V325:W325"/>
    <mergeCell ref="T324:U324"/>
    <mergeCell ref="V324:W324"/>
    <mergeCell ref="E322:S322"/>
    <mergeCell ref="T322:U322"/>
    <mergeCell ref="E319:S319"/>
    <mergeCell ref="T319:U319"/>
    <mergeCell ref="V319:W319"/>
    <mergeCell ref="E320:S320"/>
    <mergeCell ref="T320:U320"/>
    <mergeCell ref="V320:W320"/>
    <mergeCell ref="E317:S317"/>
    <mergeCell ref="T317:U317"/>
    <mergeCell ref="V317:W317"/>
    <mergeCell ref="E318:S318"/>
    <mergeCell ref="T318:U318"/>
    <mergeCell ref="V318:W318"/>
    <mergeCell ref="E301:S301"/>
    <mergeCell ref="T301:U301"/>
    <mergeCell ref="V301:W301"/>
    <mergeCell ref="E306:S306"/>
    <mergeCell ref="T306:U306"/>
    <mergeCell ref="E299:S299"/>
    <mergeCell ref="T299:U299"/>
    <mergeCell ref="V299:W299"/>
    <mergeCell ref="E300:S300"/>
    <mergeCell ref="T300:U300"/>
    <mergeCell ref="V300:W300"/>
    <mergeCell ref="T296:U296"/>
    <mergeCell ref="V296:W296"/>
    <mergeCell ref="E297:S297"/>
    <mergeCell ref="T297:U297"/>
    <mergeCell ref="V297:W297"/>
    <mergeCell ref="E298:S298"/>
    <mergeCell ref="T298:U298"/>
    <mergeCell ref="V298:W298"/>
    <mergeCell ref="E291:S291"/>
    <mergeCell ref="T291:U291"/>
    <mergeCell ref="V291:W291"/>
    <mergeCell ref="E292:S292"/>
    <mergeCell ref="T292:U292"/>
    <mergeCell ref="V292:W292"/>
    <mergeCell ref="T288:U288"/>
    <mergeCell ref="V288:W288"/>
    <mergeCell ref="E289:S289"/>
    <mergeCell ref="T289:U289"/>
    <mergeCell ref="V289:W289"/>
    <mergeCell ref="E290:S290"/>
    <mergeCell ref="T290:U290"/>
    <mergeCell ref="V290:W290"/>
    <mergeCell ref="E285:S285"/>
    <mergeCell ref="T285:U285"/>
    <mergeCell ref="V285:W285"/>
    <mergeCell ref="E286:S286"/>
    <mergeCell ref="T286:U286"/>
    <mergeCell ref="V286:W286"/>
    <mergeCell ref="E283:S283"/>
    <mergeCell ref="T283:U283"/>
    <mergeCell ref="V283:W283"/>
    <mergeCell ref="E284:S284"/>
    <mergeCell ref="T284:U284"/>
    <mergeCell ref="V284:W284"/>
    <mergeCell ref="E281:S281"/>
    <mergeCell ref="T281:U281"/>
    <mergeCell ref="V281:W281"/>
    <mergeCell ref="E282:S282"/>
    <mergeCell ref="T282:U282"/>
    <mergeCell ref="V282:W282"/>
    <mergeCell ref="E279:S279"/>
    <mergeCell ref="T279:U279"/>
    <mergeCell ref="V279:W279"/>
    <mergeCell ref="E280:S280"/>
    <mergeCell ref="T280:U280"/>
    <mergeCell ref="V280:W280"/>
    <mergeCell ref="E277:S277"/>
    <mergeCell ref="T277:U277"/>
    <mergeCell ref="V277:W277"/>
    <mergeCell ref="E278:S278"/>
    <mergeCell ref="T278:U278"/>
    <mergeCell ref="V278:W278"/>
    <mergeCell ref="E275:S275"/>
    <mergeCell ref="T275:U275"/>
    <mergeCell ref="V275:W275"/>
    <mergeCell ref="E276:S276"/>
    <mergeCell ref="T276:U276"/>
    <mergeCell ref="V276:W276"/>
    <mergeCell ref="E273:S273"/>
    <mergeCell ref="T273:U273"/>
    <mergeCell ref="V273:W273"/>
    <mergeCell ref="E274:S274"/>
    <mergeCell ref="T274:U274"/>
    <mergeCell ref="V274:W274"/>
    <mergeCell ref="E267:S267"/>
    <mergeCell ref="T267:U267"/>
    <mergeCell ref="V267:W267"/>
    <mergeCell ref="T271:U271"/>
    <mergeCell ref="V271:W271"/>
    <mergeCell ref="E272:S272"/>
    <mergeCell ref="T272:U272"/>
    <mergeCell ref="V272:W272"/>
    <mergeCell ref="E265:S265"/>
    <mergeCell ref="T265:U265"/>
    <mergeCell ref="V265:W265"/>
    <mergeCell ref="E266:S266"/>
    <mergeCell ref="T266:U266"/>
    <mergeCell ref="V266:W266"/>
    <mergeCell ref="E263:S263"/>
    <mergeCell ref="T263:U263"/>
    <mergeCell ref="V263:W263"/>
    <mergeCell ref="E264:S264"/>
    <mergeCell ref="T264:U264"/>
    <mergeCell ref="V264:W264"/>
    <mergeCell ref="E257:S257"/>
    <mergeCell ref="T257:U257"/>
    <mergeCell ref="V257:W257"/>
    <mergeCell ref="T261:U261"/>
    <mergeCell ref="V261:W261"/>
    <mergeCell ref="E262:S262"/>
    <mergeCell ref="T262:U262"/>
    <mergeCell ref="V262:W262"/>
    <mergeCell ref="E254:S254"/>
    <mergeCell ref="T254:U254"/>
    <mergeCell ref="V254:W254"/>
    <mergeCell ref="E255:S255"/>
    <mergeCell ref="T255:U255"/>
    <mergeCell ref="V255:W255"/>
    <mergeCell ref="E252:S252"/>
    <mergeCell ref="T252:U252"/>
    <mergeCell ref="V252:W252"/>
    <mergeCell ref="E253:S253"/>
    <mergeCell ref="T253:U253"/>
    <mergeCell ref="V253:W253"/>
    <mergeCell ref="E250:S250"/>
    <mergeCell ref="T250:U250"/>
    <mergeCell ref="V250:W250"/>
    <mergeCell ref="E251:S251"/>
    <mergeCell ref="T251:U251"/>
    <mergeCell ref="V251:W251"/>
    <mergeCell ref="E248:S248"/>
    <mergeCell ref="T248:U248"/>
    <mergeCell ref="V248:W248"/>
    <mergeCell ref="E249:S249"/>
    <mergeCell ref="T249:U249"/>
    <mergeCell ref="V249:W249"/>
    <mergeCell ref="E246:S246"/>
    <mergeCell ref="T246:U246"/>
    <mergeCell ref="V246:W246"/>
    <mergeCell ref="E247:S247"/>
    <mergeCell ref="T247:U247"/>
    <mergeCell ref="V247:W247"/>
    <mergeCell ref="E234:S234"/>
    <mergeCell ref="T234:U234"/>
    <mergeCell ref="V234:W234"/>
    <mergeCell ref="E242:I242"/>
    <mergeCell ref="E243:I243"/>
    <mergeCell ref="T245:U245"/>
    <mergeCell ref="V245:W245"/>
    <mergeCell ref="T231:U231"/>
    <mergeCell ref="V231:W231"/>
    <mergeCell ref="E232:S232"/>
    <mergeCell ref="T232:U232"/>
    <mergeCell ref="V232:W232"/>
    <mergeCell ref="E233:S233"/>
    <mergeCell ref="T233:U233"/>
    <mergeCell ref="V233:W233"/>
    <mergeCell ref="E228:S228"/>
    <mergeCell ref="T228:U228"/>
    <mergeCell ref="V228:W228"/>
    <mergeCell ref="E229:S229"/>
    <mergeCell ref="T229:U229"/>
    <mergeCell ref="V229:W229"/>
    <mergeCell ref="E226:S226"/>
    <mergeCell ref="T226:U226"/>
    <mergeCell ref="V226:W226"/>
    <mergeCell ref="E227:S227"/>
    <mergeCell ref="T227:U227"/>
    <mergeCell ref="V227:W227"/>
    <mergeCell ref="T223:U223"/>
    <mergeCell ref="V223:W223"/>
    <mergeCell ref="E224:S224"/>
    <mergeCell ref="T224:U224"/>
    <mergeCell ref="V224:W224"/>
    <mergeCell ref="E225:S225"/>
    <mergeCell ref="T225:U225"/>
    <mergeCell ref="V225:W225"/>
    <mergeCell ref="E220:S220"/>
    <mergeCell ref="T220:U220"/>
    <mergeCell ref="V220:W220"/>
    <mergeCell ref="E221:S221"/>
    <mergeCell ref="T221:U221"/>
    <mergeCell ref="V221:W221"/>
    <mergeCell ref="E218:S218"/>
    <mergeCell ref="T218:U218"/>
    <mergeCell ref="V218:W218"/>
    <mergeCell ref="E219:S219"/>
    <mergeCell ref="T219:U219"/>
    <mergeCell ref="V219:W219"/>
    <mergeCell ref="E216:S216"/>
    <mergeCell ref="T216:U216"/>
    <mergeCell ref="V216:W216"/>
    <mergeCell ref="E217:S217"/>
    <mergeCell ref="T217:U217"/>
    <mergeCell ref="V217:W217"/>
    <mergeCell ref="E214:S214"/>
    <mergeCell ref="T214:U214"/>
    <mergeCell ref="V214:W214"/>
    <mergeCell ref="E215:S215"/>
    <mergeCell ref="T215:U215"/>
    <mergeCell ref="V215:W215"/>
    <mergeCell ref="E212:S212"/>
    <mergeCell ref="T212:U212"/>
    <mergeCell ref="V212:W212"/>
    <mergeCell ref="E213:S213"/>
    <mergeCell ref="T213:U213"/>
    <mergeCell ref="V213:W213"/>
    <mergeCell ref="T209:U209"/>
    <mergeCell ref="V209:W209"/>
    <mergeCell ref="E210:S210"/>
    <mergeCell ref="T210:U210"/>
    <mergeCell ref="V210:W210"/>
    <mergeCell ref="E211:S211"/>
    <mergeCell ref="T211:U211"/>
    <mergeCell ref="V211:W211"/>
    <mergeCell ref="E202:S202"/>
    <mergeCell ref="T202:U202"/>
    <mergeCell ref="E203:S203"/>
    <mergeCell ref="T203:U203"/>
    <mergeCell ref="E207:S207"/>
    <mergeCell ref="T207:U207"/>
    <mergeCell ref="E194:S194"/>
    <mergeCell ref="T194:U194"/>
    <mergeCell ref="V194:W194"/>
    <mergeCell ref="E200:S200"/>
    <mergeCell ref="T200:U200"/>
    <mergeCell ref="E201:S201"/>
    <mergeCell ref="T201:U201"/>
    <mergeCell ref="E192:S192"/>
    <mergeCell ref="T192:U192"/>
    <mergeCell ref="V192:W192"/>
    <mergeCell ref="E193:S193"/>
    <mergeCell ref="T193:U193"/>
    <mergeCell ref="V193:W193"/>
    <mergeCell ref="T189:U189"/>
    <mergeCell ref="V189:W189"/>
    <mergeCell ref="E190:S190"/>
    <mergeCell ref="T190:U190"/>
    <mergeCell ref="V190:W190"/>
    <mergeCell ref="E191:S191"/>
    <mergeCell ref="T191:U191"/>
    <mergeCell ref="V191:W191"/>
    <mergeCell ref="E186:S186"/>
    <mergeCell ref="T186:U186"/>
    <mergeCell ref="V186:W186"/>
    <mergeCell ref="E187:S187"/>
    <mergeCell ref="T187:U187"/>
    <mergeCell ref="V187:W187"/>
    <mergeCell ref="E184:S184"/>
    <mergeCell ref="T184:U184"/>
    <mergeCell ref="V184:W184"/>
    <mergeCell ref="E185:S185"/>
    <mergeCell ref="T185:U185"/>
    <mergeCell ref="V185:W185"/>
    <mergeCell ref="T181:U181"/>
    <mergeCell ref="V181:W181"/>
    <mergeCell ref="E182:S182"/>
    <mergeCell ref="T182:U182"/>
    <mergeCell ref="V182:W182"/>
    <mergeCell ref="E183:S183"/>
    <mergeCell ref="T183:U183"/>
    <mergeCell ref="V183:W183"/>
    <mergeCell ref="E177:S177"/>
    <mergeCell ref="T177:U177"/>
    <mergeCell ref="V177:W177"/>
    <mergeCell ref="E179:S179"/>
    <mergeCell ref="T179:U179"/>
    <mergeCell ref="V179:W179"/>
    <mergeCell ref="E170:S170"/>
    <mergeCell ref="T170:U170"/>
    <mergeCell ref="V170:W170"/>
    <mergeCell ref="E172:S172"/>
    <mergeCell ref="T172:U172"/>
    <mergeCell ref="V172:W172"/>
    <mergeCell ref="E168:S168"/>
    <mergeCell ref="T168:U168"/>
    <mergeCell ref="V168:W168"/>
    <mergeCell ref="E169:S169"/>
    <mergeCell ref="T169:U169"/>
    <mergeCell ref="V169:W169"/>
    <mergeCell ref="T165:U165"/>
    <mergeCell ref="V165:W165"/>
    <mergeCell ref="E166:S166"/>
    <mergeCell ref="T166:U166"/>
    <mergeCell ref="V166:W166"/>
    <mergeCell ref="E167:S167"/>
    <mergeCell ref="T167:U167"/>
    <mergeCell ref="V167:W167"/>
    <mergeCell ref="E162:S162"/>
    <mergeCell ref="T162:U162"/>
    <mergeCell ref="V162:W162"/>
    <mergeCell ref="E163:S163"/>
    <mergeCell ref="T163:U163"/>
    <mergeCell ref="V163:W163"/>
    <mergeCell ref="E160:S160"/>
    <mergeCell ref="T160:U160"/>
    <mergeCell ref="V160:W160"/>
    <mergeCell ref="E161:S161"/>
    <mergeCell ref="T161:U161"/>
    <mergeCell ref="V161:W161"/>
    <mergeCell ref="E158:S158"/>
    <mergeCell ref="T158:U158"/>
    <mergeCell ref="V158:W158"/>
    <mergeCell ref="E159:S159"/>
    <mergeCell ref="T159:U159"/>
    <mergeCell ref="V159:W159"/>
    <mergeCell ref="E156:S156"/>
    <mergeCell ref="T156:U156"/>
    <mergeCell ref="V156:W156"/>
    <mergeCell ref="E157:S157"/>
    <mergeCell ref="T157:U157"/>
    <mergeCell ref="V157:W157"/>
    <mergeCell ref="T153:U153"/>
    <mergeCell ref="V153:W153"/>
    <mergeCell ref="E154:S154"/>
    <mergeCell ref="T154:U154"/>
    <mergeCell ref="V154:W154"/>
    <mergeCell ref="E155:S155"/>
    <mergeCell ref="T155:U155"/>
    <mergeCell ref="V155:W155"/>
    <mergeCell ref="E147:S147"/>
    <mergeCell ref="T147:U147"/>
    <mergeCell ref="V147:W147"/>
    <mergeCell ref="E151:S151"/>
    <mergeCell ref="T151:U151"/>
    <mergeCell ref="V151:W151"/>
    <mergeCell ref="T144:U144"/>
    <mergeCell ref="V144:W144"/>
    <mergeCell ref="E145:S145"/>
    <mergeCell ref="T145:U145"/>
    <mergeCell ref="V145:W145"/>
    <mergeCell ref="E146:S146"/>
    <mergeCell ref="T146:U146"/>
    <mergeCell ref="V146:W146"/>
    <mergeCell ref="E138:S138"/>
    <mergeCell ref="T138:U138"/>
    <mergeCell ref="V138:W138"/>
    <mergeCell ref="T139:U139"/>
    <mergeCell ref="V139:W139"/>
    <mergeCell ref="E140:S140"/>
    <mergeCell ref="T140:U140"/>
    <mergeCell ref="V140:W140"/>
    <mergeCell ref="E136:S136"/>
    <mergeCell ref="T136:U136"/>
    <mergeCell ref="V136:W136"/>
    <mergeCell ref="E137:S137"/>
    <mergeCell ref="T137:U137"/>
    <mergeCell ref="V137:W137"/>
    <mergeCell ref="E134:S134"/>
    <mergeCell ref="T134:U134"/>
    <mergeCell ref="V134:W134"/>
    <mergeCell ref="E135:S135"/>
    <mergeCell ref="T135:U135"/>
    <mergeCell ref="V135:W135"/>
    <mergeCell ref="E132:S132"/>
    <mergeCell ref="T132:U132"/>
    <mergeCell ref="V132:W132"/>
    <mergeCell ref="E133:S133"/>
    <mergeCell ref="T133:U133"/>
    <mergeCell ref="V133:W133"/>
    <mergeCell ref="T128:U128"/>
    <mergeCell ref="V128:W128"/>
    <mergeCell ref="E129:S129"/>
    <mergeCell ref="T129:U129"/>
    <mergeCell ref="V129:W129"/>
    <mergeCell ref="T131:U131"/>
    <mergeCell ref="V131:W131"/>
    <mergeCell ref="E125:S125"/>
    <mergeCell ref="T125:U125"/>
    <mergeCell ref="V125:W125"/>
    <mergeCell ref="T126:U126"/>
    <mergeCell ref="V126:W126"/>
    <mergeCell ref="E127:S127"/>
    <mergeCell ref="T127:U127"/>
    <mergeCell ref="V127:W127"/>
    <mergeCell ref="E119:S119"/>
    <mergeCell ref="T119:U119"/>
    <mergeCell ref="V119:W119"/>
    <mergeCell ref="T123:U123"/>
    <mergeCell ref="V123:W123"/>
    <mergeCell ref="E124:S124"/>
    <mergeCell ref="T124:U124"/>
    <mergeCell ref="V124:W124"/>
    <mergeCell ref="E117:S117"/>
    <mergeCell ref="T117:U117"/>
    <mergeCell ref="V117:W117"/>
    <mergeCell ref="E118:S118"/>
    <mergeCell ref="T118:U118"/>
    <mergeCell ref="V118:W118"/>
    <mergeCell ref="E113:S113"/>
    <mergeCell ref="T113:U113"/>
    <mergeCell ref="V113:W113"/>
    <mergeCell ref="T115:U115"/>
    <mergeCell ref="V115:W115"/>
    <mergeCell ref="E116:S116"/>
    <mergeCell ref="T116:U116"/>
    <mergeCell ref="V116:W116"/>
    <mergeCell ref="E111:S111"/>
    <mergeCell ref="T111:U111"/>
    <mergeCell ref="V111:W111"/>
    <mergeCell ref="E112:S112"/>
    <mergeCell ref="T112:U112"/>
    <mergeCell ref="V112:W112"/>
    <mergeCell ref="E107:S107"/>
    <mergeCell ref="T107:U107"/>
    <mergeCell ref="V107:W107"/>
    <mergeCell ref="T109:U109"/>
    <mergeCell ref="V109:W109"/>
    <mergeCell ref="E110:S110"/>
    <mergeCell ref="T110:U110"/>
    <mergeCell ref="V110:W110"/>
    <mergeCell ref="E105:S105"/>
    <mergeCell ref="T105:U105"/>
    <mergeCell ref="V105:W105"/>
    <mergeCell ref="E106:S106"/>
    <mergeCell ref="T106:U106"/>
    <mergeCell ref="V106:W106"/>
    <mergeCell ref="E103:S103"/>
    <mergeCell ref="T103:U103"/>
    <mergeCell ref="V103:W103"/>
    <mergeCell ref="E104:S104"/>
    <mergeCell ref="T104:U104"/>
    <mergeCell ref="V104:W104"/>
    <mergeCell ref="T101:U101"/>
    <mergeCell ref="V101:W101"/>
    <mergeCell ref="T99:U99"/>
    <mergeCell ref="V99:W99"/>
    <mergeCell ref="T100:U100"/>
    <mergeCell ref="V100:W100"/>
    <mergeCell ref="E90:S90"/>
    <mergeCell ref="T90:U90"/>
    <mergeCell ref="V90:W90"/>
    <mergeCell ref="E91:S91"/>
    <mergeCell ref="T91:U91"/>
    <mergeCell ref="V91:W91"/>
    <mergeCell ref="E86:S86"/>
    <mergeCell ref="T86:U86"/>
    <mergeCell ref="V86:W86"/>
    <mergeCell ref="T88:U88"/>
    <mergeCell ref="V88:W88"/>
    <mergeCell ref="E89:S89"/>
    <mergeCell ref="T89:U89"/>
    <mergeCell ref="V89:W89"/>
    <mergeCell ref="E84:S84"/>
    <mergeCell ref="T84:U84"/>
    <mergeCell ref="V84:W84"/>
    <mergeCell ref="E85:S85"/>
    <mergeCell ref="T85:U85"/>
    <mergeCell ref="V85:W85"/>
    <mergeCell ref="E82:S82"/>
    <mergeCell ref="T82:U82"/>
    <mergeCell ref="V82:W82"/>
    <mergeCell ref="E83:S83"/>
    <mergeCell ref="T83:U83"/>
    <mergeCell ref="V83:W83"/>
    <mergeCell ref="E80:S80"/>
    <mergeCell ref="T80:U80"/>
    <mergeCell ref="V80:W80"/>
    <mergeCell ref="E81:S81"/>
    <mergeCell ref="T81:U81"/>
    <mergeCell ref="V81:W81"/>
    <mergeCell ref="E78:S78"/>
    <mergeCell ref="T78:U78"/>
    <mergeCell ref="V78:W78"/>
    <mergeCell ref="E79:S79"/>
    <mergeCell ref="T79:U79"/>
    <mergeCell ref="V79:W79"/>
    <mergeCell ref="E76:S76"/>
    <mergeCell ref="T76:U76"/>
    <mergeCell ref="V76:W76"/>
    <mergeCell ref="E77:S77"/>
    <mergeCell ref="T77:U77"/>
    <mergeCell ref="V77:W77"/>
    <mergeCell ref="T72:U72"/>
    <mergeCell ref="V72:W72"/>
    <mergeCell ref="T74:U74"/>
    <mergeCell ref="V74:W74"/>
    <mergeCell ref="E75:S75"/>
    <mergeCell ref="T75:U75"/>
    <mergeCell ref="V75:W75"/>
    <mergeCell ref="E68:S68"/>
    <mergeCell ref="T68:U68"/>
    <mergeCell ref="V68:W68"/>
    <mergeCell ref="T70:U70"/>
    <mergeCell ref="V70:W70"/>
    <mergeCell ref="E71:S71"/>
    <mergeCell ref="T71:U71"/>
    <mergeCell ref="V71:W71"/>
    <mergeCell ref="E66:S66"/>
    <mergeCell ref="T66:U66"/>
    <mergeCell ref="V66:W66"/>
    <mergeCell ref="E67:S67"/>
    <mergeCell ref="T67:U67"/>
    <mergeCell ref="V67:W67"/>
    <mergeCell ref="E59:S59"/>
    <mergeCell ref="T59:U59"/>
    <mergeCell ref="V59:W59"/>
    <mergeCell ref="T64:U64"/>
    <mergeCell ref="V64:W64"/>
    <mergeCell ref="E65:S65"/>
    <mergeCell ref="T65:U65"/>
    <mergeCell ref="V65:W65"/>
    <mergeCell ref="E57:S57"/>
    <mergeCell ref="T57:U57"/>
    <mergeCell ref="V57:W57"/>
    <mergeCell ref="E58:S58"/>
    <mergeCell ref="T58:U58"/>
    <mergeCell ref="V58:W58"/>
    <mergeCell ref="T54:U54"/>
    <mergeCell ref="V54:W54"/>
    <mergeCell ref="E55:S55"/>
    <mergeCell ref="T55:U55"/>
    <mergeCell ref="V55:W55"/>
    <mergeCell ref="E56:S56"/>
    <mergeCell ref="T56:U56"/>
    <mergeCell ref="V56:W56"/>
    <mergeCell ref="E51:S51"/>
    <mergeCell ref="T51:U51"/>
    <mergeCell ref="V51:W51"/>
    <mergeCell ref="E52:S52"/>
    <mergeCell ref="T52:U52"/>
    <mergeCell ref="V52:W52"/>
    <mergeCell ref="T48:U48"/>
    <mergeCell ref="V48:W48"/>
    <mergeCell ref="E49:S49"/>
    <mergeCell ref="T49:U49"/>
    <mergeCell ref="V49:W49"/>
    <mergeCell ref="E50:S50"/>
    <mergeCell ref="T50:U50"/>
    <mergeCell ref="V50:W50"/>
    <mergeCell ref="E45:S45"/>
    <mergeCell ref="T45:U45"/>
    <mergeCell ref="V45:W45"/>
    <mergeCell ref="E46:S46"/>
    <mergeCell ref="T46:U46"/>
    <mergeCell ref="V46:W46"/>
    <mergeCell ref="E43:S43"/>
    <mergeCell ref="T43:U43"/>
    <mergeCell ref="V43:W43"/>
    <mergeCell ref="E44:S44"/>
    <mergeCell ref="T44:U44"/>
    <mergeCell ref="V44:W44"/>
    <mergeCell ref="E41:S41"/>
    <mergeCell ref="T41:U41"/>
    <mergeCell ref="V41:W41"/>
    <mergeCell ref="E42:S42"/>
    <mergeCell ref="T42:U42"/>
    <mergeCell ref="V42:W42"/>
    <mergeCell ref="E32:S32"/>
    <mergeCell ref="T32:U32"/>
    <mergeCell ref="T38:W38"/>
    <mergeCell ref="T39:U39"/>
    <mergeCell ref="V39:W39"/>
    <mergeCell ref="E40:S40"/>
    <mergeCell ref="T40:U40"/>
    <mergeCell ref="V40:W40"/>
    <mergeCell ref="Z24:AA24"/>
    <mergeCell ref="E29:S29"/>
    <mergeCell ref="T29:U29"/>
    <mergeCell ref="E30:S30"/>
    <mergeCell ref="T30:U30"/>
    <mergeCell ref="E31:S31"/>
    <mergeCell ref="T31:U31"/>
    <mergeCell ref="E24:H24"/>
    <mergeCell ref="I24:L24"/>
    <mergeCell ref="M24:P24"/>
    <mergeCell ref="T24:U24"/>
    <mergeCell ref="V24:W24"/>
    <mergeCell ref="X24:Y24"/>
    <mergeCell ref="Z22:AA22"/>
    <mergeCell ref="E23:H23"/>
    <mergeCell ref="I23:L23"/>
    <mergeCell ref="M23:P23"/>
    <mergeCell ref="T23:U23"/>
    <mergeCell ref="V23:W23"/>
    <mergeCell ref="X23:Y23"/>
    <mergeCell ref="Z23:AA23"/>
    <mergeCell ref="E22:H22"/>
    <mergeCell ref="I22:L22"/>
    <mergeCell ref="M22:P22"/>
    <mergeCell ref="T22:U22"/>
    <mergeCell ref="V22:W22"/>
    <mergeCell ref="X22:Y22"/>
    <mergeCell ref="Z20:AA20"/>
    <mergeCell ref="E21:H21"/>
    <mergeCell ref="I21:L21"/>
    <mergeCell ref="M21:P21"/>
    <mergeCell ref="T21:U21"/>
    <mergeCell ref="V21:W21"/>
    <mergeCell ref="X21:Y21"/>
    <mergeCell ref="Z21:AA21"/>
    <mergeCell ref="E20:H20"/>
    <mergeCell ref="I20:L20"/>
    <mergeCell ref="M20:P20"/>
    <mergeCell ref="T20:U20"/>
    <mergeCell ref="V20:W20"/>
    <mergeCell ref="X20:Y20"/>
    <mergeCell ref="E17:H19"/>
    <mergeCell ref="I17:L19"/>
    <mergeCell ref="M17:P19"/>
    <mergeCell ref="T17:AA17"/>
    <mergeCell ref="T18:W18"/>
    <mergeCell ref="X18:AA18"/>
    <mergeCell ref="T19:U19"/>
    <mergeCell ref="V19:W19"/>
    <mergeCell ref="X19:Y19"/>
    <mergeCell ref="Z19:AA19"/>
    <mergeCell ref="E14:S14"/>
    <mergeCell ref="T14:U14"/>
    <mergeCell ref="V14:W14"/>
    <mergeCell ref="X14:AA14"/>
    <mergeCell ref="AB14:AC14"/>
    <mergeCell ref="E15:S15"/>
    <mergeCell ref="T15:U15"/>
    <mergeCell ref="V15:W15"/>
    <mergeCell ref="X15:AA15"/>
    <mergeCell ref="AB15:AC15"/>
    <mergeCell ref="V13:W13"/>
    <mergeCell ref="X13:AA13"/>
    <mergeCell ref="AB13:AC13"/>
    <mergeCell ref="T10:U10"/>
    <mergeCell ref="V10:W10"/>
    <mergeCell ref="X10:AA10"/>
    <mergeCell ref="AB10:AC10"/>
    <mergeCell ref="E11:S11"/>
    <mergeCell ref="T11:U11"/>
    <mergeCell ref="V11:W11"/>
    <mergeCell ref="X11:AA11"/>
    <mergeCell ref="AB11:AC11"/>
    <mergeCell ref="T13:U13"/>
    <mergeCell ref="E9:S9"/>
    <mergeCell ref="T9:U9"/>
    <mergeCell ref="V9:W9"/>
    <mergeCell ref="X9:AA9"/>
    <mergeCell ref="AB9:AC9"/>
    <mergeCell ref="E12:S12"/>
    <mergeCell ref="T12:U12"/>
    <mergeCell ref="V12:W12"/>
    <mergeCell ref="X12:AA12"/>
    <mergeCell ref="AB12:AC12"/>
    <mergeCell ref="E5:S7"/>
    <mergeCell ref="T5:AC5"/>
    <mergeCell ref="T6:W6"/>
    <mergeCell ref="X6:AC6"/>
    <mergeCell ref="T7:U7"/>
    <mergeCell ref="V7:W7"/>
    <mergeCell ref="X7:AA7"/>
    <mergeCell ref="AB7:AC7"/>
    <mergeCell ref="E8:S8"/>
    <mergeCell ref="T8:U8"/>
    <mergeCell ref="V8:W8"/>
    <mergeCell ref="X8:AA8"/>
    <mergeCell ref="AB8:AC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AG263"/>
  <sheetViews>
    <sheetView zoomScale="80" zoomScaleNormal="80" workbookViewId="0">
      <pane xSplit="6" ySplit="3" topLeftCell="G211" activePane="bottomRight" state="frozen"/>
      <selection pane="topRight" activeCell="G1" sqref="G1"/>
      <selection pane="bottomLeft" activeCell="A4" sqref="A4"/>
      <selection pane="bottomRight" activeCell="AB23" sqref="AB23"/>
    </sheetView>
  </sheetViews>
  <sheetFormatPr defaultRowHeight="15"/>
  <cols>
    <col min="1" max="1" width="7.5703125" customWidth="1"/>
    <col min="2" max="2" width="7" customWidth="1"/>
    <col min="3" max="3" width="3.140625" customWidth="1"/>
    <col min="4" max="4" width="49.140625" style="62" customWidth="1"/>
    <col min="5" max="5" width="5.42578125" customWidth="1"/>
    <col min="6" max="6" width="3.85546875" customWidth="1"/>
    <col min="9" max="9" width="3.5703125" customWidth="1"/>
    <col min="10" max="11" width="0" hidden="1" customWidth="1"/>
    <col min="12" max="21" width="9.140625" hidden="1" customWidth="1"/>
    <col min="22" max="25" width="5.28515625" customWidth="1"/>
    <col min="26" max="26" width="6.85546875" customWidth="1"/>
    <col min="27" max="27" width="6.7109375" customWidth="1"/>
  </cols>
  <sheetData>
    <row r="2" spans="1:27" ht="30">
      <c r="B2">
        <f>(B5+B59+B109+B163+B212)/5</f>
        <v>63.437939700000001</v>
      </c>
      <c r="Z2" s="11" t="s">
        <v>23</v>
      </c>
      <c r="AA2" s="11" t="s">
        <v>3</v>
      </c>
    </row>
    <row r="3" spans="1:27">
      <c r="D3" s="62" t="s">
        <v>133</v>
      </c>
      <c r="G3" s="354" t="s">
        <v>134</v>
      </c>
      <c r="H3" s="354"/>
      <c r="I3" s="354"/>
    </row>
    <row r="4" spans="1:27">
      <c r="A4" t="s">
        <v>0</v>
      </c>
      <c r="B4" t="s">
        <v>120</v>
      </c>
      <c r="D4" s="62" t="s">
        <v>121</v>
      </c>
      <c r="E4">
        <v>60</v>
      </c>
      <c r="V4" s="182" t="s">
        <v>11</v>
      </c>
      <c r="W4" s="182"/>
      <c r="X4" s="182" t="s">
        <v>12</v>
      </c>
      <c r="Y4" s="182"/>
      <c r="AA4" s="49">
        <f>SUM(AA5:AA8)</f>
        <v>3.2913999999999999</v>
      </c>
    </row>
    <row r="5" spans="1:27">
      <c r="B5" s="49">
        <f>AA4+AA11+AA30+AA42+AA48+AA54+AA56</f>
        <v>57.877850000000002</v>
      </c>
      <c r="G5" s="183" t="s">
        <v>122</v>
      </c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4">
        <v>60</v>
      </c>
      <c r="W5" s="184"/>
      <c r="X5" s="184">
        <v>49</v>
      </c>
      <c r="Y5" s="184"/>
      <c r="Z5">
        <v>45</v>
      </c>
      <c r="AA5" s="10">
        <f t="shared" ref="AA5:AA8" si="0">Z5/1000*V5</f>
        <v>2.6999999999999997</v>
      </c>
    </row>
    <row r="6" spans="1:27">
      <c r="G6" s="183" t="s">
        <v>123</v>
      </c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4">
        <v>14</v>
      </c>
      <c r="W6" s="184"/>
      <c r="X6" s="184">
        <v>10</v>
      </c>
      <c r="Y6" s="184"/>
      <c r="Z6">
        <v>30</v>
      </c>
      <c r="AA6" s="10">
        <f t="shared" si="0"/>
        <v>0.42</v>
      </c>
    </row>
    <row r="7" spans="1:27">
      <c r="G7" s="183" t="s">
        <v>32</v>
      </c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4">
        <v>1.2</v>
      </c>
      <c r="W7" s="184"/>
      <c r="X7" s="184">
        <v>1.2</v>
      </c>
      <c r="Y7" s="184"/>
      <c r="Z7">
        <v>140</v>
      </c>
      <c r="AA7" s="10">
        <f t="shared" si="0"/>
        <v>0.16800000000000001</v>
      </c>
    </row>
    <row r="8" spans="1:27">
      <c r="G8" s="185" t="s">
        <v>19</v>
      </c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7"/>
      <c r="V8" s="188">
        <f>0.2*X9/60</f>
        <v>0.2</v>
      </c>
      <c r="W8" s="189"/>
      <c r="X8" s="188">
        <f>V8</f>
        <v>0.2</v>
      </c>
      <c r="Y8" s="189"/>
      <c r="Z8">
        <v>17</v>
      </c>
      <c r="AA8" s="10">
        <f t="shared" si="0"/>
        <v>3.4000000000000002E-3</v>
      </c>
    </row>
    <row r="9" spans="1:27">
      <c r="G9" s="190" t="s">
        <v>21</v>
      </c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1" t="s">
        <v>22</v>
      </c>
      <c r="W9" s="191"/>
      <c r="X9" s="192">
        <v>60</v>
      </c>
      <c r="Y9" s="192"/>
    </row>
    <row r="11" spans="1:27">
      <c r="D11" s="62" t="s">
        <v>124</v>
      </c>
      <c r="E11" t="s">
        <v>125</v>
      </c>
      <c r="V11" s="182" t="s">
        <v>11</v>
      </c>
      <c r="W11" s="182"/>
      <c r="X11" s="182" t="s">
        <v>12</v>
      </c>
      <c r="Y11" s="182"/>
      <c r="AA11" s="49">
        <f>SUM(AA12:AA26)</f>
        <v>7.0934499999999998</v>
      </c>
    </row>
    <row r="12" spans="1:27">
      <c r="G12" s="355" t="s">
        <v>126</v>
      </c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7"/>
      <c r="V12" s="184">
        <v>10</v>
      </c>
      <c r="W12" s="184"/>
      <c r="X12" s="184">
        <v>10</v>
      </c>
      <c r="Y12" s="184"/>
      <c r="AA12" s="10">
        <f t="shared" ref="AA12:AA26" si="1">Z12/1000*V12</f>
        <v>0</v>
      </c>
    </row>
    <row r="13" spans="1:27">
      <c r="G13" s="185" t="s">
        <v>127</v>
      </c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7"/>
      <c r="V13" s="188">
        <f>16*V12/10</f>
        <v>16</v>
      </c>
      <c r="W13" s="189"/>
      <c r="X13" s="188">
        <f>60*V12/80</f>
        <v>7.5</v>
      </c>
      <c r="Y13" s="189"/>
      <c r="Z13">
        <v>185</v>
      </c>
      <c r="AA13" s="10">
        <f t="shared" si="1"/>
        <v>2.96</v>
      </c>
    </row>
    <row r="14" spans="1:27">
      <c r="G14" s="185" t="s">
        <v>35</v>
      </c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7"/>
      <c r="V14" s="188">
        <f>15*V12/80</f>
        <v>1.875</v>
      </c>
      <c r="W14" s="189"/>
      <c r="X14" s="188">
        <f>V14</f>
        <v>1.875</v>
      </c>
      <c r="Y14" s="189"/>
      <c r="Z14">
        <v>45.54</v>
      </c>
      <c r="AA14" s="10">
        <f t="shared" si="1"/>
        <v>8.5387499999999991E-2</v>
      </c>
    </row>
    <row r="15" spans="1:27">
      <c r="G15" s="185" t="s">
        <v>17</v>
      </c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7"/>
      <c r="V15" s="188">
        <f>18*V12/80</f>
        <v>2.25</v>
      </c>
      <c r="W15" s="189"/>
      <c r="X15" s="188">
        <f>V15</f>
        <v>2.25</v>
      </c>
      <c r="Y15" s="189"/>
      <c r="AA15" s="10">
        <f t="shared" si="1"/>
        <v>0</v>
      </c>
    </row>
    <row r="16" spans="1:27">
      <c r="G16" s="185" t="s">
        <v>19</v>
      </c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7"/>
      <c r="V16" s="361">
        <f>0.5*V12/80</f>
        <v>6.25E-2</v>
      </c>
      <c r="W16" s="362"/>
      <c r="X16" s="361">
        <f>V16</f>
        <v>6.25E-2</v>
      </c>
      <c r="Y16" s="362"/>
      <c r="Z16">
        <v>17</v>
      </c>
      <c r="AA16" s="10">
        <f t="shared" si="1"/>
        <v>1.0625000000000001E-3</v>
      </c>
    </row>
    <row r="17" spans="4:27">
      <c r="G17" s="358" t="s">
        <v>128</v>
      </c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60"/>
      <c r="V17" s="188"/>
      <c r="W17" s="189"/>
      <c r="X17" s="188"/>
      <c r="Y17" s="189"/>
      <c r="AA17" s="10">
        <f t="shared" si="1"/>
        <v>0</v>
      </c>
    </row>
    <row r="18" spans="4:27">
      <c r="G18" s="185" t="s">
        <v>129</v>
      </c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7"/>
      <c r="V18" s="188">
        <v>60</v>
      </c>
      <c r="W18" s="189"/>
      <c r="X18" s="188">
        <v>45</v>
      </c>
      <c r="Y18" s="189"/>
      <c r="Z18">
        <v>27</v>
      </c>
      <c r="AA18" s="10">
        <f t="shared" si="1"/>
        <v>1.6199999999999999</v>
      </c>
    </row>
    <row r="19" spans="4:27">
      <c r="G19" s="185" t="s">
        <v>130</v>
      </c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7"/>
      <c r="V19" s="188">
        <v>16</v>
      </c>
      <c r="W19" s="189"/>
      <c r="X19" s="188">
        <v>16</v>
      </c>
      <c r="Y19" s="189"/>
      <c r="Z19">
        <v>40</v>
      </c>
      <c r="AA19" s="10">
        <f t="shared" si="1"/>
        <v>0.64</v>
      </c>
    </row>
    <row r="20" spans="4:27">
      <c r="G20" s="185" t="s">
        <v>66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7"/>
      <c r="V20" s="188">
        <v>9.5</v>
      </c>
      <c r="W20" s="189"/>
      <c r="X20" s="188">
        <v>8</v>
      </c>
      <c r="Y20" s="189"/>
      <c r="Z20">
        <v>20</v>
      </c>
      <c r="AA20" s="10">
        <f t="shared" si="1"/>
        <v>0.19</v>
      </c>
    </row>
    <row r="21" spans="4:27">
      <c r="G21" s="185" t="s">
        <v>45</v>
      </c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7"/>
      <c r="V21" s="193">
        <v>11</v>
      </c>
      <c r="W21" s="194"/>
      <c r="X21" s="188">
        <v>9</v>
      </c>
      <c r="Y21" s="189"/>
      <c r="Z21">
        <v>30</v>
      </c>
      <c r="AA21" s="10">
        <f t="shared" si="1"/>
        <v>0.32999999999999996</v>
      </c>
    </row>
    <row r="22" spans="4:27">
      <c r="G22" s="185" t="s">
        <v>32</v>
      </c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7"/>
      <c r="V22" s="188">
        <v>1</v>
      </c>
      <c r="W22" s="189"/>
      <c r="X22" s="188">
        <v>1</v>
      </c>
      <c r="Y22" s="189"/>
      <c r="Z22">
        <v>140</v>
      </c>
      <c r="AA22" s="10">
        <f t="shared" si="1"/>
        <v>0.14000000000000001</v>
      </c>
    </row>
    <row r="23" spans="4:27">
      <c r="G23" s="185" t="s">
        <v>18</v>
      </c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7"/>
      <c r="V23" s="188">
        <v>2</v>
      </c>
      <c r="W23" s="189"/>
      <c r="X23" s="188">
        <v>2</v>
      </c>
      <c r="Y23" s="189"/>
      <c r="Z23">
        <v>550</v>
      </c>
      <c r="AA23" s="10">
        <f t="shared" si="1"/>
        <v>1.1000000000000001</v>
      </c>
    </row>
    <row r="24" spans="4:27">
      <c r="G24" s="185" t="s">
        <v>131</v>
      </c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7"/>
      <c r="V24" s="188">
        <v>1</v>
      </c>
      <c r="W24" s="189"/>
      <c r="X24" s="188">
        <v>1</v>
      </c>
      <c r="Y24" s="189"/>
      <c r="AA24" s="10">
        <f t="shared" si="1"/>
        <v>0</v>
      </c>
    </row>
    <row r="25" spans="4:27">
      <c r="G25" s="185" t="s">
        <v>19</v>
      </c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7"/>
      <c r="V25" s="188">
        <v>1</v>
      </c>
      <c r="W25" s="189"/>
      <c r="X25" s="188">
        <v>1</v>
      </c>
      <c r="Y25" s="189"/>
      <c r="Z25">
        <v>17</v>
      </c>
      <c r="AA25" s="10">
        <f t="shared" si="1"/>
        <v>1.7000000000000001E-2</v>
      </c>
    </row>
    <row r="26" spans="4:27">
      <c r="G26" s="185" t="s">
        <v>105</v>
      </c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7"/>
      <c r="V26" s="212">
        <v>0.01</v>
      </c>
      <c r="W26" s="214"/>
      <c r="X26" s="212">
        <v>0.01</v>
      </c>
      <c r="Y26" s="214"/>
      <c r="Z26">
        <v>1000</v>
      </c>
      <c r="AA26" s="10">
        <f t="shared" si="1"/>
        <v>0.01</v>
      </c>
    </row>
    <row r="27" spans="4:27">
      <c r="G27" s="365" t="s">
        <v>132</v>
      </c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7"/>
      <c r="V27" s="363">
        <v>140</v>
      </c>
      <c r="W27" s="364"/>
      <c r="X27" s="363">
        <v>140</v>
      </c>
      <c r="Y27" s="364"/>
    </row>
    <row r="28" spans="4:27">
      <c r="G28" s="190" t="s">
        <v>21</v>
      </c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1" t="s">
        <v>22</v>
      </c>
      <c r="W28" s="191"/>
      <c r="X28" s="191" t="s">
        <v>125</v>
      </c>
      <c r="Y28" s="191"/>
    </row>
    <row r="30" spans="4:27" ht="15.75">
      <c r="D30" s="63" t="s">
        <v>86</v>
      </c>
      <c r="E30" s="1">
        <v>90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82" t="s">
        <v>11</v>
      </c>
      <c r="W30" s="182"/>
      <c r="X30" s="182" t="s">
        <v>12</v>
      </c>
      <c r="Y30" s="182"/>
      <c r="Z30" s="10"/>
      <c r="AA30" s="17">
        <f>SUM(AA31:AA39)</f>
        <v>38.222900000000003</v>
      </c>
    </row>
    <row r="31" spans="4:27" ht="15.75">
      <c r="D31" s="63"/>
      <c r="E31" s="1"/>
      <c r="G31" s="183" t="s">
        <v>63</v>
      </c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4">
        <f>50*X40/90</f>
        <v>50</v>
      </c>
      <c r="W31" s="184"/>
      <c r="X31" s="184">
        <f>42*X40/90</f>
        <v>42</v>
      </c>
      <c r="Y31" s="184"/>
      <c r="Z31" s="10">
        <v>548</v>
      </c>
      <c r="AA31" s="10">
        <f>Z31/1000*V31</f>
        <v>27.400000000000002</v>
      </c>
    </row>
    <row r="32" spans="4:27" ht="15.75">
      <c r="D32" s="63"/>
      <c r="E32" s="1"/>
      <c r="G32" s="185" t="s">
        <v>87</v>
      </c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7"/>
      <c r="V32" s="188">
        <f>24*X40/90</f>
        <v>24</v>
      </c>
      <c r="W32" s="189"/>
      <c r="X32" s="188">
        <f>20*X40/90</f>
        <v>20</v>
      </c>
      <c r="Y32" s="189"/>
      <c r="Z32" s="10">
        <v>330</v>
      </c>
      <c r="AA32" s="10">
        <f t="shared" ref="AA32:AA39" si="2">Z32/1000*V32</f>
        <v>7.92</v>
      </c>
    </row>
    <row r="33" spans="4:33" ht="15.75">
      <c r="D33" s="63"/>
      <c r="E33" s="1"/>
      <c r="G33" s="185" t="s">
        <v>88</v>
      </c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7"/>
      <c r="V33" s="188">
        <f>13.5*X40/90</f>
        <v>13.5</v>
      </c>
      <c r="W33" s="189"/>
      <c r="X33" s="188">
        <f>V33</f>
        <v>13.5</v>
      </c>
      <c r="Y33" s="189"/>
      <c r="Z33" s="10">
        <v>45.54</v>
      </c>
      <c r="AA33" s="10">
        <f t="shared" si="2"/>
        <v>0.61478999999999995</v>
      </c>
    </row>
    <row r="34" spans="4:33" ht="15.75">
      <c r="D34" s="63"/>
      <c r="E34" s="1"/>
      <c r="G34" s="185" t="s">
        <v>64</v>
      </c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7"/>
      <c r="V34" s="188">
        <f>4*X40/90</f>
        <v>4</v>
      </c>
      <c r="W34" s="189"/>
      <c r="X34" s="188">
        <f t="shared" ref="X34:X39" si="3">V34</f>
        <v>4</v>
      </c>
      <c r="Y34" s="189"/>
      <c r="Z34" s="10">
        <v>140</v>
      </c>
      <c r="AA34" s="10">
        <f t="shared" si="2"/>
        <v>0.56000000000000005</v>
      </c>
    </row>
    <row r="35" spans="4:33" ht="15.75">
      <c r="D35" s="63"/>
      <c r="E35" s="1"/>
      <c r="G35" s="185" t="s">
        <v>89</v>
      </c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7"/>
      <c r="V35" s="188">
        <f>3.5*X40/90</f>
        <v>3.5</v>
      </c>
      <c r="W35" s="189"/>
      <c r="X35" s="188">
        <f t="shared" si="3"/>
        <v>3.5</v>
      </c>
      <c r="Y35" s="189"/>
      <c r="Z35" s="10">
        <v>20</v>
      </c>
      <c r="AA35" s="10">
        <f t="shared" si="2"/>
        <v>7.0000000000000007E-2</v>
      </c>
    </row>
    <row r="36" spans="4:33" ht="15.75">
      <c r="D36" s="63"/>
      <c r="E36" s="1"/>
      <c r="G36" s="185" t="s">
        <v>16</v>
      </c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7"/>
      <c r="V36" s="188">
        <f>13*X40/90</f>
        <v>13</v>
      </c>
      <c r="W36" s="189"/>
      <c r="X36" s="188">
        <f t="shared" si="3"/>
        <v>13</v>
      </c>
      <c r="Y36" s="189"/>
      <c r="Z36" s="10">
        <v>48.17</v>
      </c>
      <c r="AA36" s="10">
        <f t="shared" si="2"/>
        <v>0.62621000000000004</v>
      </c>
    </row>
    <row r="37" spans="4:33" ht="15.75">
      <c r="D37" s="63"/>
      <c r="E37" s="1"/>
      <c r="G37" s="183" t="s">
        <v>55</v>
      </c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4">
        <f>4*X40/90</f>
        <v>4</v>
      </c>
      <c r="W37" s="184"/>
      <c r="X37" s="188">
        <f t="shared" si="3"/>
        <v>4</v>
      </c>
      <c r="Y37" s="189"/>
      <c r="Z37" s="10">
        <v>150</v>
      </c>
      <c r="AA37" s="10">
        <f t="shared" si="2"/>
        <v>0.6</v>
      </c>
    </row>
    <row r="38" spans="4:33" ht="15.75">
      <c r="D38" s="63"/>
      <c r="E38" s="1"/>
      <c r="G38" s="183" t="s">
        <v>19</v>
      </c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4">
        <f>0.7*X40/90</f>
        <v>0.7</v>
      </c>
      <c r="W38" s="184"/>
      <c r="X38" s="188">
        <f t="shared" si="3"/>
        <v>0.7</v>
      </c>
      <c r="Y38" s="189"/>
      <c r="Z38" s="10">
        <v>17</v>
      </c>
      <c r="AA38" s="10">
        <f t="shared" si="2"/>
        <v>1.1900000000000001E-2</v>
      </c>
    </row>
    <row r="39" spans="4:33" ht="15.75">
      <c r="D39" s="63"/>
      <c r="E39" s="1"/>
      <c r="G39" s="185" t="s">
        <v>67</v>
      </c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7"/>
      <c r="V39" s="188">
        <f>3*X40/90</f>
        <v>3</v>
      </c>
      <c r="W39" s="189"/>
      <c r="X39" s="188">
        <f t="shared" si="3"/>
        <v>3</v>
      </c>
      <c r="Y39" s="189"/>
      <c r="Z39" s="10">
        <v>140</v>
      </c>
      <c r="AA39" s="10">
        <f t="shared" si="2"/>
        <v>0.42000000000000004</v>
      </c>
    </row>
    <row r="40" spans="4:33" ht="15.75">
      <c r="D40" s="63"/>
      <c r="E40" s="1"/>
      <c r="G40" s="190" t="s">
        <v>21</v>
      </c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1" t="s">
        <v>22</v>
      </c>
      <c r="W40" s="191"/>
      <c r="X40" s="192">
        <v>90</v>
      </c>
      <c r="Y40" s="192"/>
    </row>
    <row r="42" spans="4:33" ht="15.75">
      <c r="D42" s="63" t="s">
        <v>68</v>
      </c>
      <c r="E42" s="1">
        <v>150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82" t="s">
        <v>11</v>
      </c>
      <c r="W42" s="182"/>
      <c r="X42" s="182" t="s">
        <v>12</v>
      </c>
      <c r="Y42" s="182"/>
      <c r="Z42" s="10"/>
      <c r="AA42" s="17">
        <f>SUM(AA43:AA45)</f>
        <v>4.5151000000000003</v>
      </c>
      <c r="AB42" s="1"/>
      <c r="AC42" s="1"/>
      <c r="AD42" s="1"/>
      <c r="AE42" s="1"/>
    </row>
    <row r="43" spans="4:33">
      <c r="G43" s="183" t="s">
        <v>69</v>
      </c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4">
        <v>52</v>
      </c>
      <c r="W43" s="184"/>
      <c r="X43" s="184">
        <v>52</v>
      </c>
      <c r="Y43" s="184"/>
      <c r="Z43" s="10">
        <v>55</v>
      </c>
      <c r="AA43" s="10">
        <f>V43*Z43/1000</f>
        <v>2.86</v>
      </c>
      <c r="AB43" s="1"/>
      <c r="AC43" s="1"/>
      <c r="AD43" s="1"/>
      <c r="AE43" s="1"/>
    </row>
    <row r="44" spans="4:33">
      <c r="G44" s="183" t="s">
        <v>19</v>
      </c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4">
        <v>0.3</v>
      </c>
      <c r="W44" s="184"/>
      <c r="X44" s="184">
        <v>0.3</v>
      </c>
      <c r="Y44" s="184"/>
      <c r="Z44" s="10">
        <v>17</v>
      </c>
      <c r="AA44" s="10">
        <f>V44*Z44/1000</f>
        <v>5.0999999999999995E-3</v>
      </c>
      <c r="AB44" s="1"/>
      <c r="AC44" s="1"/>
      <c r="AD44" s="1"/>
      <c r="AE44" s="1"/>
    </row>
    <row r="45" spans="4:33">
      <c r="G45" s="183" t="s">
        <v>18</v>
      </c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4">
        <v>3</v>
      </c>
      <c r="W45" s="184"/>
      <c r="X45" s="184">
        <v>3</v>
      </c>
      <c r="Y45" s="184"/>
      <c r="Z45" s="10">
        <v>550</v>
      </c>
      <c r="AA45" s="10">
        <f>V45*Z45/1000</f>
        <v>1.65</v>
      </c>
      <c r="AB45" s="1"/>
      <c r="AC45" s="1"/>
      <c r="AD45" s="1"/>
      <c r="AE45" s="1"/>
    </row>
    <row r="46" spans="4:33">
      <c r="G46" s="190" t="s">
        <v>21</v>
      </c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1" t="s">
        <v>22</v>
      </c>
      <c r="W46" s="191"/>
      <c r="X46" s="192">
        <v>150</v>
      </c>
      <c r="Y46" s="192"/>
      <c r="Z46" s="1"/>
      <c r="AA46" s="1"/>
      <c r="AB46" s="1"/>
      <c r="AC46" s="1"/>
      <c r="AD46" s="1"/>
      <c r="AE46" s="1"/>
      <c r="AF46" s="10"/>
      <c r="AG46" s="10"/>
    </row>
    <row r="47" spans="4:33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4:33">
      <c r="D48" s="62" t="s">
        <v>70</v>
      </c>
      <c r="E48">
        <v>200</v>
      </c>
      <c r="V48" s="182" t="s">
        <v>11</v>
      </c>
      <c r="W48" s="182"/>
      <c r="X48" s="182" t="s">
        <v>12</v>
      </c>
      <c r="Y48" s="182"/>
      <c r="AA48" s="49">
        <f>AA49+AA50+AA51</f>
        <v>2.2000000000000002</v>
      </c>
    </row>
    <row r="49" spans="1:27">
      <c r="G49" s="183" t="s">
        <v>58</v>
      </c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4">
        <v>0.6</v>
      </c>
      <c r="W49" s="184"/>
      <c r="X49" s="184">
        <v>0.6</v>
      </c>
      <c r="Y49" s="184"/>
      <c r="Z49">
        <v>500</v>
      </c>
      <c r="AA49" s="10">
        <f t="shared" ref="AA49:AA51" si="4">Z49/1000*V49</f>
        <v>0.3</v>
      </c>
    </row>
    <row r="50" spans="1:27">
      <c r="G50" s="185" t="s">
        <v>20</v>
      </c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7"/>
      <c r="V50" s="188">
        <v>15</v>
      </c>
      <c r="W50" s="189"/>
      <c r="X50" s="188">
        <v>15</v>
      </c>
      <c r="Y50" s="189"/>
      <c r="Z50">
        <v>55</v>
      </c>
      <c r="AA50" s="10">
        <f t="shared" si="4"/>
        <v>0.82499999999999996</v>
      </c>
    </row>
    <row r="51" spans="1:27">
      <c r="G51" s="185" t="s">
        <v>71</v>
      </c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7"/>
      <c r="V51" s="188">
        <v>5</v>
      </c>
      <c r="W51" s="189"/>
      <c r="X51" s="188">
        <v>4</v>
      </c>
      <c r="Y51" s="189"/>
      <c r="Z51">
        <v>215</v>
      </c>
      <c r="AA51" s="10">
        <f t="shared" si="4"/>
        <v>1.075</v>
      </c>
    </row>
    <row r="52" spans="1:27">
      <c r="G52" s="190" t="s">
        <v>21</v>
      </c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1" t="s">
        <v>22</v>
      </c>
      <c r="W52" s="191"/>
      <c r="X52" s="191" t="s">
        <v>72</v>
      </c>
      <c r="Y52" s="191"/>
    </row>
    <row r="54" spans="1:27">
      <c r="D54" s="62" t="s">
        <v>135</v>
      </c>
      <c r="E54">
        <v>40</v>
      </c>
      <c r="G54" s="183" t="s">
        <v>135</v>
      </c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4">
        <v>40</v>
      </c>
      <c r="W54" s="184"/>
      <c r="X54" s="184">
        <v>40</v>
      </c>
      <c r="Y54" s="184"/>
      <c r="Z54">
        <v>29.72</v>
      </c>
      <c r="AA54" s="49">
        <f>Z54/1000*V54</f>
        <v>1.1888000000000001</v>
      </c>
    </row>
    <row r="56" spans="1:27">
      <c r="D56" s="62" t="s">
        <v>35</v>
      </c>
      <c r="E56">
        <v>30</v>
      </c>
      <c r="G56" s="183" t="s">
        <v>35</v>
      </c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4">
        <v>30</v>
      </c>
      <c r="W56" s="184"/>
      <c r="X56" s="184">
        <v>30</v>
      </c>
      <c r="Y56" s="184"/>
      <c r="Z56">
        <v>45.54</v>
      </c>
      <c r="AA56" s="49">
        <f>Z56/1000*V56</f>
        <v>1.3661999999999999</v>
      </c>
    </row>
    <row r="57" spans="1:27" s="51" customFormat="1">
      <c r="D57" s="64"/>
    </row>
    <row r="58" spans="1:27">
      <c r="A58" s="50" t="s">
        <v>27</v>
      </c>
      <c r="B58" s="50" t="s">
        <v>120</v>
      </c>
      <c r="D58" s="62" t="s">
        <v>136</v>
      </c>
      <c r="E58">
        <v>60</v>
      </c>
      <c r="V58" s="8" t="s">
        <v>11</v>
      </c>
      <c r="W58" s="8"/>
      <c r="X58" s="8" t="s">
        <v>12</v>
      </c>
      <c r="Y58" s="8"/>
      <c r="AA58" s="50">
        <f>AA59+AA60+AA61</f>
        <v>3.1055000000000001</v>
      </c>
    </row>
    <row r="59" spans="1:27">
      <c r="B59" s="50">
        <f>AA58+AA64+AA79+AA90+AA97+AA103+AA105</f>
        <v>55.919979999999995</v>
      </c>
      <c r="G59" s="183" t="s">
        <v>137</v>
      </c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9">
        <v>76</v>
      </c>
      <c r="W59" s="9"/>
      <c r="X59" s="9">
        <v>57</v>
      </c>
      <c r="Y59" s="9"/>
      <c r="Z59">
        <v>35</v>
      </c>
      <c r="AA59">
        <f>V59*Z59/1000</f>
        <v>2.66</v>
      </c>
    </row>
    <row r="60" spans="1:27">
      <c r="G60" s="183" t="s">
        <v>19</v>
      </c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9">
        <v>1.5</v>
      </c>
      <c r="W60" s="9"/>
      <c r="X60" s="9">
        <v>1.5</v>
      </c>
      <c r="Y60" s="9"/>
      <c r="Z60">
        <v>17</v>
      </c>
      <c r="AA60">
        <f t="shared" ref="AA60:AA61" si="5">V60*Z60/1000</f>
        <v>2.5499999999999998E-2</v>
      </c>
    </row>
    <row r="61" spans="1:27">
      <c r="G61" s="183" t="s">
        <v>32</v>
      </c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9">
        <v>3</v>
      </c>
      <c r="W61" s="9"/>
      <c r="X61" s="9">
        <v>3</v>
      </c>
      <c r="Y61" s="9"/>
      <c r="Z61">
        <v>140</v>
      </c>
      <c r="AA61">
        <f t="shared" si="5"/>
        <v>0.42</v>
      </c>
    </row>
    <row r="62" spans="1:27">
      <c r="G62" s="190" t="s">
        <v>21</v>
      </c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1" t="s">
        <v>22</v>
      </c>
      <c r="W62" s="191"/>
      <c r="X62" s="192">
        <v>60</v>
      </c>
      <c r="Y62" s="192"/>
    </row>
    <row r="64" spans="1:27">
      <c r="D64" s="62" t="s">
        <v>140</v>
      </c>
      <c r="E64">
        <v>200</v>
      </c>
      <c r="V64" s="8" t="s">
        <v>11</v>
      </c>
      <c r="AA64" s="50">
        <f>SUM(AA65:AA77)</f>
        <v>16.297999999999998</v>
      </c>
    </row>
    <row r="65" spans="4:27">
      <c r="G65" s="256" t="s">
        <v>141</v>
      </c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>
        <v>15</v>
      </c>
      <c r="Z65">
        <v>270</v>
      </c>
      <c r="AA65">
        <f>Z65*V65/1000</f>
        <v>4.05</v>
      </c>
    </row>
    <row r="66" spans="4:27">
      <c r="G66" s="237" t="s">
        <v>129</v>
      </c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9"/>
      <c r="V66">
        <v>47</v>
      </c>
      <c r="Z66">
        <v>27</v>
      </c>
      <c r="AA66">
        <f t="shared" ref="AA66:AA77" si="6">Z66*V66/1000</f>
        <v>1.2689999999999999</v>
      </c>
    </row>
    <row r="67" spans="4:27">
      <c r="G67" s="237" t="s">
        <v>45</v>
      </c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9"/>
      <c r="V67">
        <v>13</v>
      </c>
      <c r="Z67">
        <v>30</v>
      </c>
      <c r="AA67">
        <f t="shared" si="6"/>
        <v>0.39</v>
      </c>
    </row>
    <row r="68" spans="4:27">
      <c r="G68" s="237" t="s">
        <v>66</v>
      </c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9"/>
      <c r="V68">
        <v>9</v>
      </c>
      <c r="Z68">
        <v>20</v>
      </c>
      <c r="AA68">
        <f t="shared" si="6"/>
        <v>0.18</v>
      </c>
    </row>
    <row r="69" spans="4:27">
      <c r="G69" s="237" t="s">
        <v>142</v>
      </c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9"/>
      <c r="V69">
        <v>3</v>
      </c>
      <c r="Z69">
        <v>245</v>
      </c>
      <c r="AA69">
        <f t="shared" si="6"/>
        <v>0.73499999999999999</v>
      </c>
    </row>
    <row r="70" spans="4:27">
      <c r="G70" s="237" t="s">
        <v>143</v>
      </c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9"/>
      <c r="V70">
        <v>15</v>
      </c>
      <c r="Z70">
        <v>350</v>
      </c>
      <c r="AA70">
        <f t="shared" si="6"/>
        <v>5.25</v>
      </c>
    </row>
    <row r="71" spans="4:27">
      <c r="G71" s="237" t="s">
        <v>144</v>
      </c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9"/>
      <c r="V71">
        <v>15</v>
      </c>
      <c r="Z71">
        <v>200</v>
      </c>
      <c r="AA71">
        <f t="shared" si="6"/>
        <v>3</v>
      </c>
    </row>
    <row r="72" spans="4:27">
      <c r="G72" s="237" t="s">
        <v>145</v>
      </c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9"/>
      <c r="V72">
        <v>2</v>
      </c>
      <c r="Z72">
        <v>140</v>
      </c>
      <c r="AA72">
        <f t="shared" si="6"/>
        <v>0.28000000000000003</v>
      </c>
    </row>
    <row r="73" spans="4:27">
      <c r="G73" s="256" t="s">
        <v>7</v>
      </c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>
        <v>2</v>
      </c>
      <c r="Z73">
        <v>550</v>
      </c>
      <c r="AA73">
        <f t="shared" si="6"/>
        <v>1.1000000000000001</v>
      </c>
    </row>
    <row r="74" spans="4:27">
      <c r="G74" s="256" t="s">
        <v>146</v>
      </c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>
        <v>2</v>
      </c>
      <c r="Z74">
        <v>17</v>
      </c>
      <c r="AA74">
        <f t="shared" si="6"/>
        <v>3.4000000000000002E-2</v>
      </c>
    </row>
    <row r="75" spans="4:27">
      <c r="G75" s="289" t="s">
        <v>147</v>
      </c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>
        <v>0.01</v>
      </c>
      <c r="AA75">
        <f t="shared" si="6"/>
        <v>0</v>
      </c>
    </row>
    <row r="76" spans="4:27">
      <c r="G76" t="s">
        <v>148</v>
      </c>
      <c r="V76">
        <v>0.01</v>
      </c>
      <c r="Z76">
        <v>1000</v>
      </c>
      <c r="AA76">
        <f t="shared" si="6"/>
        <v>0.01</v>
      </c>
    </row>
    <row r="77" spans="4:27">
      <c r="G77" t="s">
        <v>149</v>
      </c>
      <c r="V77">
        <v>150</v>
      </c>
      <c r="AA77">
        <f t="shared" si="6"/>
        <v>0</v>
      </c>
    </row>
    <row r="79" spans="4:27">
      <c r="D79" s="62" t="s">
        <v>150</v>
      </c>
      <c r="E79">
        <v>90</v>
      </c>
      <c r="V79" s="182" t="s">
        <v>11</v>
      </c>
      <c r="W79" s="182"/>
      <c r="X79" s="182" t="s">
        <v>12</v>
      </c>
      <c r="Y79" s="182"/>
      <c r="AA79" s="50">
        <f>SUM(AA80:AA87)</f>
        <v>23.782299999999999</v>
      </c>
    </row>
    <row r="80" spans="4:27">
      <c r="G80" s="183" t="s">
        <v>151</v>
      </c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4">
        <v>120</v>
      </c>
      <c r="W80" s="184"/>
      <c r="X80" s="184">
        <v>102</v>
      </c>
      <c r="Y80" s="184"/>
      <c r="Z80">
        <v>149.13</v>
      </c>
      <c r="AA80">
        <f>V80*Z80/1000</f>
        <v>17.895599999999998</v>
      </c>
    </row>
    <row r="81" spans="4:27">
      <c r="G81" s="185" t="s">
        <v>31</v>
      </c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7"/>
      <c r="V81" s="188">
        <v>17</v>
      </c>
      <c r="W81" s="189"/>
      <c r="X81" s="188">
        <v>15</v>
      </c>
      <c r="Y81" s="189"/>
      <c r="Z81">
        <v>30</v>
      </c>
      <c r="AA81">
        <f t="shared" ref="AA81:AA87" si="7">V81*Z81/1000</f>
        <v>0.51</v>
      </c>
    </row>
    <row r="82" spans="4:27">
      <c r="G82" s="185" t="s">
        <v>66</v>
      </c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7"/>
      <c r="V82" s="188">
        <v>12</v>
      </c>
      <c r="W82" s="189"/>
      <c r="X82" s="188">
        <v>10</v>
      </c>
      <c r="Y82" s="189"/>
      <c r="Z82">
        <v>20</v>
      </c>
      <c r="AA82">
        <f t="shared" si="7"/>
        <v>0.24</v>
      </c>
    </row>
    <row r="83" spans="4:27">
      <c r="G83" s="185" t="s">
        <v>18</v>
      </c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7"/>
      <c r="V83" s="188">
        <v>5</v>
      </c>
      <c r="W83" s="189"/>
      <c r="X83" s="188">
        <v>5</v>
      </c>
      <c r="Y83" s="189"/>
      <c r="Z83">
        <v>550</v>
      </c>
      <c r="AA83">
        <f t="shared" si="7"/>
        <v>2.75</v>
      </c>
    </row>
    <row r="84" spans="4:27">
      <c r="G84" s="185" t="s">
        <v>32</v>
      </c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7"/>
      <c r="V84" s="193">
        <v>1</v>
      </c>
      <c r="W84" s="194"/>
      <c r="X84" s="188">
        <v>1</v>
      </c>
      <c r="Y84" s="189"/>
      <c r="Z84">
        <v>140</v>
      </c>
      <c r="AA84">
        <f t="shared" si="7"/>
        <v>0.14000000000000001</v>
      </c>
    </row>
    <row r="85" spans="4:27">
      <c r="G85" s="185" t="s">
        <v>152</v>
      </c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7"/>
      <c r="V85" s="188">
        <v>4</v>
      </c>
      <c r="W85" s="189"/>
      <c r="X85" s="188">
        <v>4</v>
      </c>
      <c r="Y85" s="189"/>
      <c r="Z85">
        <v>430.2</v>
      </c>
      <c r="AA85">
        <f t="shared" si="7"/>
        <v>1.7207999999999999</v>
      </c>
    </row>
    <row r="86" spans="4:27">
      <c r="G86" s="185" t="s">
        <v>54</v>
      </c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7"/>
      <c r="V86" s="188">
        <v>3</v>
      </c>
      <c r="W86" s="189"/>
      <c r="X86" s="188">
        <v>3</v>
      </c>
      <c r="Y86" s="189"/>
      <c r="Z86">
        <v>173.6</v>
      </c>
      <c r="AA86">
        <f t="shared" si="7"/>
        <v>0.52079999999999993</v>
      </c>
    </row>
    <row r="87" spans="4:27">
      <c r="G87" s="185" t="s">
        <v>19</v>
      </c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7"/>
      <c r="V87" s="188">
        <v>0.3</v>
      </c>
      <c r="W87" s="189"/>
      <c r="X87" s="188">
        <v>0.3</v>
      </c>
      <c r="Y87" s="189"/>
      <c r="Z87">
        <v>17</v>
      </c>
      <c r="AA87">
        <f t="shared" si="7"/>
        <v>5.0999999999999995E-3</v>
      </c>
    </row>
    <row r="88" spans="4:27">
      <c r="G88" s="190" t="s">
        <v>21</v>
      </c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1" t="s">
        <v>22</v>
      </c>
      <c r="W88" s="191"/>
      <c r="X88" s="192">
        <v>90</v>
      </c>
      <c r="Y88" s="192"/>
    </row>
    <row r="90" spans="4:27">
      <c r="D90" s="65" t="s">
        <v>90</v>
      </c>
      <c r="E90">
        <v>150</v>
      </c>
      <c r="V90" s="182" t="s">
        <v>11</v>
      </c>
      <c r="W90" s="182"/>
      <c r="X90" s="182" t="s">
        <v>12</v>
      </c>
      <c r="Y90" s="182"/>
      <c r="AA90" s="50">
        <f>SUM(AA91:AA94)</f>
        <v>7.4011799999999992</v>
      </c>
    </row>
    <row r="91" spans="4:27">
      <c r="G91" s="183" t="s">
        <v>91</v>
      </c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4">
        <f>170*X95/150</f>
        <v>170</v>
      </c>
      <c r="W91" s="184"/>
      <c r="X91" s="184">
        <f>128*X95/150</f>
        <v>128</v>
      </c>
      <c r="Y91" s="184"/>
      <c r="Z91">
        <v>27</v>
      </c>
      <c r="AA91">
        <f>V91*Z91/1000</f>
        <v>4.59</v>
      </c>
    </row>
    <row r="92" spans="4:27">
      <c r="G92" s="185" t="s">
        <v>16</v>
      </c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7"/>
      <c r="V92" s="188">
        <f>24*X95/150</f>
        <v>24</v>
      </c>
      <c r="W92" s="189"/>
      <c r="X92" s="188">
        <f>24*X95/150</f>
        <v>24</v>
      </c>
      <c r="Y92" s="189"/>
      <c r="Z92">
        <v>48.17</v>
      </c>
      <c r="AA92">
        <f t="shared" ref="AA92:AA94" si="8">V92*Z92/1000</f>
        <v>1.15608</v>
      </c>
    </row>
    <row r="93" spans="4:27">
      <c r="G93" s="185" t="s">
        <v>18</v>
      </c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7"/>
      <c r="V93" s="188">
        <f>3*X95/150</f>
        <v>3</v>
      </c>
      <c r="W93" s="189"/>
      <c r="X93" s="188">
        <f>3*X95/150</f>
        <v>3</v>
      </c>
      <c r="Y93" s="189"/>
      <c r="Z93">
        <v>550</v>
      </c>
      <c r="AA93">
        <f t="shared" si="8"/>
        <v>1.65</v>
      </c>
    </row>
    <row r="94" spans="4:27">
      <c r="G94" s="183" t="s">
        <v>19</v>
      </c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4">
        <f>0.3*X95/150</f>
        <v>0.3</v>
      </c>
      <c r="W94" s="184"/>
      <c r="X94" s="184">
        <f>0.3*X95/150</f>
        <v>0.3</v>
      </c>
      <c r="Y94" s="184"/>
      <c r="Z94">
        <v>17</v>
      </c>
      <c r="AA94">
        <f t="shared" si="8"/>
        <v>5.0999999999999995E-3</v>
      </c>
    </row>
    <row r="95" spans="4:27">
      <c r="G95" s="190" t="s">
        <v>21</v>
      </c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1" t="s">
        <v>22</v>
      </c>
      <c r="W95" s="191"/>
      <c r="X95" s="192">
        <v>150</v>
      </c>
      <c r="Y95" s="192"/>
    </row>
    <row r="97" spans="1:27">
      <c r="D97" s="65" t="s">
        <v>153</v>
      </c>
      <c r="E97">
        <v>200</v>
      </c>
      <c r="V97" s="182" t="s">
        <v>11</v>
      </c>
      <c r="W97" s="182"/>
      <c r="X97" s="182" t="s">
        <v>12</v>
      </c>
      <c r="Y97" s="182"/>
      <c r="AA97" s="50">
        <f>SUM(AA98:AA100)</f>
        <v>2.7780000000000005</v>
      </c>
    </row>
    <row r="98" spans="1:27">
      <c r="G98" s="183" t="s">
        <v>154</v>
      </c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4">
        <f>20*X101/180</f>
        <v>22.222222222222221</v>
      </c>
      <c r="W98" s="184"/>
      <c r="X98" s="184">
        <f>V98</f>
        <v>22.222222222222221</v>
      </c>
      <c r="Y98" s="184"/>
      <c r="Z98">
        <v>97.51</v>
      </c>
      <c r="AA98">
        <f>Z98*V98/1000</f>
        <v>2.1668888888888893</v>
      </c>
    </row>
    <row r="99" spans="1:27">
      <c r="G99" s="185" t="s">
        <v>20</v>
      </c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7"/>
      <c r="V99" s="188">
        <f>10*X101/180</f>
        <v>11.111111111111111</v>
      </c>
      <c r="W99" s="189"/>
      <c r="X99" s="188">
        <f>V99</f>
        <v>11.111111111111111</v>
      </c>
      <c r="Y99" s="189"/>
      <c r="Z99">
        <v>55</v>
      </c>
      <c r="AA99">
        <f t="shared" ref="AA99:AA100" si="9">Z99*V99/1000</f>
        <v>0.61111111111111105</v>
      </c>
    </row>
    <row r="100" spans="1:27">
      <c r="G100" s="185" t="s">
        <v>17</v>
      </c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7"/>
      <c r="V100" s="188">
        <f>180*X101/180</f>
        <v>200</v>
      </c>
      <c r="W100" s="189"/>
      <c r="X100" s="188">
        <f>V100</f>
        <v>200</v>
      </c>
      <c r="Y100" s="189"/>
      <c r="AA100">
        <f t="shared" si="9"/>
        <v>0</v>
      </c>
    </row>
    <row r="101" spans="1:27">
      <c r="G101" s="190" t="s">
        <v>21</v>
      </c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1" t="s">
        <v>22</v>
      </c>
      <c r="W101" s="191"/>
      <c r="X101" s="192">
        <v>200</v>
      </c>
      <c r="Y101" s="192"/>
    </row>
    <row r="103" spans="1:27">
      <c r="D103" s="62" t="s">
        <v>135</v>
      </c>
      <c r="E103">
        <v>40</v>
      </c>
      <c r="G103" s="183" t="s">
        <v>135</v>
      </c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4">
        <v>40</v>
      </c>
      <c r="W103" s="184"/>
      <c r="X103" s="184">
        <v>40</v>
      </c>
      <c r="Y103" s="184"/>
      <c r="Z103">
        <v>29.72</v>
      </c>
      <c r="AA103" s="50">
        <f>Z103/1000*V103</f>
        <v>1.1888000000000001</v>
      </c>
    </row>
    <row r="105" spans="1:27">
      <c r="D105" s="62" t="s">
        <v>35</v>
      </c>
      <c r="E105">
        <v>30</v>
      </c>
      <c r="G105" s="183" t="s">
        <v>35</v>
      </c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4">
        <v>30</v>
      </c>
      <c r="W105" s="184"/>
      <c r="X105" s="184">
        <v>30</v>
      </c>
      <c r="Y105" s="184"/>
      <c r="Z105">
        <v>45.54</v>
      </c>
      <c r="AA105" s="50">
        <f>Z105/1000*V105</f>
        <v>1.3661999999999999</v>
      </c>
    </row>
    <row r="107" spans="1:27" s="53" customFormat="1">
      <c r="D107" s="66"/>
    </row>
    <row r="108" spans="1:27">
      <c r="A108" s="52" t="s">
        <v>43</v>
      </c>
      <c r="B108" s="52" t="s">
        <v>120</v>
      </c>
      <c r="D108" s="65" t="s">
        <v>155</v>
      </c>
      <c r="E108">
        <v>60</v>
      </c>
      <c r="V108" s="182" t="s">
        <v>11</v>
      </c>
      <c r="W108" s="182"/>
      <c r="X108" s="182" t="s">
        <v>12</v>
      </c>
      <c r="Y108" s="182"/>
      <c r="AA108" s="52">
        <f>SUM(AA109:AA113)</f>
        <v>3.8545000000000007</v>
      </c>
    </row>
    <row r="109" spans="1:27">
      <c r="B109" s="52">
        <f>AA108+AA116+AA138+AA150+AA157+AA159</f>
        <v>57.544675000000005</v>
      </c>
      <c r="G109" s="183" t="s">
        <v>156</v>
      </c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4">
        <v>50</v>
      </c>
      <c r="W109" s="184"/>
      <c r="X109" s="184">
        <v>45</v>
      </c>
      <c r="Y109" s="184"/>
      <c r="Z109">
        <v>45</v>
      </c>
      <c r="AA109">
        <f>V109*Z109/1000</f>
        <v>2.25</v>
      </c>
    </row>
    <row r="110" spans="1:27">
      <c r="G110" s="185" t="s">
        <v>157</v>
      </c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7"/>
      <c r="V110" s="188">
        <v>8</v>
      </c>
      <c r="W110" s="189"/>
      <c r="X110" s="188">
        <v>7</v>
      </c>
      <c r="Y110" s="189"/>
      <c r="Z110">
        <v>150</v>
      </c>
      <c r="AA110">
        <f t="shared" ref="AA110:AA113" si="10">V110*Z110/1000</f>
        <v>1.2</v>
      </c>
    </row>
    <row r="111" spans="1:27">
      <c r="G111" s="185" t="s">
        <v>66</v>
      </c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7"/>
      <c r="V111" s="188">
        <v>6</v>
      </c>
      <c r="W111" s="189"/>
      <c r="X111" s="188">
        <v>5</v>
      </c>
      <c r="Y111" s="189"/>
      <c r="Z111">
        <v>20</v>
      </c>
      <c r="AA111">
        <f t="shared" si="10"/>
        <v>0.12</v>
      </c>
    </row>
    <row r="112" spans="1:27">
      <c r="G112" s="185" t="s">
        <v>32</v>
      </c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7"/>
      <c r="V112" s="188">
        <v>2</v>
      </c>
      <c r="W112" s="189"/>
      <c r="X112" s="188">
        <v>2</v>
      </c>
      <c r="Y112" s="189"/>
      <c r="Z112">
        <v>140</v>
      </c>
      <c r="AA112">
        <f t="shared" si="10"/>
        <v>0.28000000000000003</v>
      </c>
    </row>
    <row r="113" spans="4:27">
      <c r="G113" s="183" t="s">
        <v>19</v>
      </c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4">
        <v>0.3</v>
      </c>
      <c r="W113" s="184"/>
      <c r="X113" s="184">
        <v>0.3</v>
      </c>
      <c r="Y113" s="184"/>
      <c r="Z113">
        <v>15</v>
      </c>
      <c r="AA113">
        <f t="shared" si="10"/>
        <v>4.4999999999999997E-3</v>
      </c>
    </row>
    <row r="114" spans="4:27">
      <c r="G114" s="190" t="s">
        <v>21</v>
      </c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1" t="s">
        <v>22</v>
      </c>
      <c r="W114" s="191"/>
      <c r="X114" s="192">
        <v>60</v>
      </c>
      <c r="Y114" s="192"/>
    </row>
    <row r="116" spans="4:27">
      <c r="D116" s="65" t="s">
        <v>158</v>
      </c>
      <c r="E116" t="s">
        <v>125</v>
      </c>
      <c r="V116" s="182" t="s">
        <v>11</v>
      </c>
      <c r="W116" s="182"/>
      <c r="X116" s="182" t="s">
        <v>12</v>
      </c>
      <c r="Y116" s="182"/>
      <c r="AA116" s="52">
        <f>SUM(AA117:AA135)</f>
        <v>12.712074999999997</v>
      </c>
    </row>
    <row r="117" spans="4:27">
      <c r="G117" s="368" t="s">
        <v>159</v>
      </c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70"/>
      <c r="V117" s="184">
        <v>10</v>
      </c>
      <c r="W117" s="184"/>
      <c r="X117" s="184">
        <v>10</v>
      </c>
      <c r="Y117" s="184"/>
      <c r="AA117">
        <f>V117*Z117/1000</f>
        <v>0</v>
      </c>
    </row>
    <row r="118" spans="4:27">
      <c r="G118" s="183" t="s">
        <v>63</v>
      </c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4">
        <v>15.5</v>
      </c>
      <c r="W118" s="184"/>
      <c r="X118" s="184">
        <v>11.5</v>
      </c>
      <c r="Y118" s="184"/>
      <c r="Z118">
        <v>548</v>
      </c>
      <c r="AA118">
        <f t="shared" ref="AA118:AA135" si="11">V118*Z118/1000</f>
        <v>8.4939999999999998</v>
      </c>
    </row>
    <row r="119" spans="4:27">
      <c r="G119" s="185" t="s">
        <v>66</v>
      </c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7"/>
      <c r="V119" s="188">
        <v>1.19</v>
      </c>
      <c r="W119" s="189"/>
      <c r="X119" s="188">
        <v>1</v>
      </c>
      <c r="Y119" s="189"/>
      <c r="Z119">
        <v>20</v>
      </c>
      <c r="AA119">
        <f t="shared" si="11"/>
        <v>2.3799999999999998E-2</v>
      </c>
    </row>
    <row r="120" spans="4:27">
      <c r="G120" s="185" t="s">
        <v>17</v>
      </c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7"/>
      <c r="V120" s="188">
        <v>1</v>
      </c>
      <c r="W120" s="189"/>
      <c r="X120" s="188">
        <v>1</v>
      </c>
      <c r="Y120" s="189"/>
      <c r="AA120">
        <f t="shared" si="11"/>
        <v>0</v>
      </c>
    </row>
    <row r="121" spans="4:27">
      <c r="G121" s="185" t="s">
        <v>102</v>
      </c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7"/>
      <c r="V121" s="188">
        <v>0.8</v>
      </c>
      <c r="W121" s="189"/>
      <c r="X121" s="188">
        <v>0.8</v>
      </c>
      <c r="Y121" s="189"/>
      <c r="Z121">
        <v>140</v>
      </c>
      <c r="AA121">
        <f t="shared" si="11"/>
        <v>0.112</v>
      </c>
    </row>
    <row r="122" spans="4:27">
      <c r="G122" s="185" t="s">
        <v>19</v>
      </c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7"/>
      <c r="V122" s="193">
        <v>7.4999999999999997E-2</v>
      </c>
      <c r="W122" s="194"/>
      <c r="X122" s="188">
        <v>7.4999999999999997E-2</v>
      </c>
      <c r="Y122" s="189"/>
      <c r="Z122">
        <v>17</v>
      </c>
      <c r="AA122">
        <f t="shared" si="11"/>
        <v>1.2749999999999999E-3</v>
      </c>
    </row>
    <row r="123" spans="4:27">
      <c r="G123" s="185" t="s">
        <v>160</v>
      </c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7"/>
      <c r="V123" s="54"/>
      <c r="W123" s="55"/>
      <c r="X123" s="6"/>
      <c r="Y123" s="7"/>
      <c r="AA123">
        <f t="shared" si="11"/>
        <v>0</v>
      </c>
    </row>
    <row r="124" spans="4:27">
      <c r="G124" s="185" t="s">
        <v>137</v>
      </c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7"/>
      <c r="V124" s="188">
        <v>41</v>
      </c>
      <c r="W124" s="189"/>
      <c r="X124" s="188">
        <v>33</v>
      </c>
      <c r="Y124" s="189"/>
      <c r="Z124">
        <v>35</v>
      </c>
      <c r="AA124">
        <f t="shared" si="11"/>
        <v>1.4350000000000001</v>
      </c>
    </row>
    <row r="125" spans="4:27">
      <c r="G125" s="185" t="s">
        <v>122</v>
      </c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7"/>
      <c r="V125" s="188">
        <v>20</v>
      </c>
      <c r="W125" s="189"/>
      <c r="X125" s="188">
        <v>16</v>
      </c>
      <c r="Y125" s="189"/>
      <c r="Z125">
        <v>45</v>
      </c>
      <c r="AA125">
        <f t="shared" si="11"/>
        <v>0.9</v>
      </c>
    </row>
    <row r="126" spans="4:27">
      <c r="G126" s="185" t="s">
        <v>129</v>
      </c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7"/>
      <c r="V126" s="188">
        <v>27</v>
      </c>
      <c r="W126" s="189"/>
      <c r="X126" s="188">
        <v>20</v>
      </c>
      <c r="Y126" s="189"/>
      <c r="Z126">
        <v>27</v>
      </c>
      <c r="AA126">
        <f t="shared" si="11"/>
        <v>0.72899999999999998</v>
      </c>
    </row>
    <row r="127" spans="4:27">
      <c r="G127" s="185" t="s">
        <v>45</v>
      </c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7"/>
      <c r="V127" s="193">
        <v>7.5</v>
      </c>
      <c r="W127" s="194"/>
      <c r="X127" s="188">
        <v>6</v>
      </c>
      <c r="Y127" s="189"/>
      <c r="Z127">
        <v>30</v>
      </c>
      <c r="AA127">
        <f t="shared" si="11"/>
        <v>0.22500000000000001</v>
      </c>
    </row>
    <row r="128" spans="4:27">
      <c r="G128" s="185" t="s">
        <v>66</v>
      </c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7"/>
      <c r="V128" s="188">
        <v>6</v>
      </c>
      <c r="W128" s="189"/>
      <c r="X128" s="188">
        <v>5</v>
      </c>
      <c r="Y128" s="189"/>
      <c r="Z128">
        <v>20</v>
      </c>
      <c r="AA128">
        <f t="shared" si="11"/>
        <v>0.12</v>
      </c>
    </row>
    <row r="129" spans="4:27">
      <c r="G129" s="185" t="s">
        <v>114</v>
      </c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7"/>
      <c r="V129" s="188">
        <v>2</v>
      </c>
      <c r="W129" s="189"/>
      <c r="X129" s="188">
        <v>2</v>
      </c>
      <c r="Y129" s="189"/>
      <c r="Z129">
        <v>135</v>
      </c>
      <c r="AA129">
        <f t="shared" si="11"/>
        <v>0.27</v>
      </c>
    </row>
    <row r="130" spans="4:27">
      <c r="G130" s="185" t="s">
        <v>20</v>
      </c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7"/>
      <c r="V130" s="188">
        <v>1</v>
      </c>
      <c r="W130" s="189"/>
      <c r="X130" s="188">
        <v>1</v>
      </c>
      <c r="Y130" s="189"/>
      <c r="Z130">
        <v>55</v>
      </c>
      <c r="AA130">
        <f t="shared" si="11"/>
        <v>5.5E-2</v>
      </c>
    </row>
    <row r="131" spans="4:27">
      <c r="G131" s="185" t="s">
        <v>32</v>
      </c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7"/>
      <c r="V131" s="188">
        <v>2</v>
      </c>
      <c r="W131" s="189"/>
      <c r="X131" s="188">
        <v>2</v>
      </c>
      <c r="Y131" s="189"/>
      <c r="Z131">
        <v>140</v>
      </c>
      <c r="AA131">
        <f t="shared" si="11"/>
        <v>0.28000000000000003</v>
      </c>
    </row>
    <row r="132" spans="4:27">
      <c r="G132" s="185" t="s">
        <v>132</v>
      </c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7"/>
      <c r="V132" s="188">
        <v>160</v>
      </c>
      <c r="W132" s="189"/>
      <c r="X132" s="188">
        <v>160</v>
      </c>
      <c r="Y132" s="189"/>
      <c r="AA132">
        <f t="shared" si="11"/>
        <v>0</v>
      </c>
    </row>
    <row r="133" spans="4:27">
      <c r="G133" s="185" t="s">
        <v>139</v>
      </c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7"/>
      <c r="V133" s="188">
        <v>0.1</v>
      </c>
      <c r="W133" s="189"/>
      <c r="X133" s="188">
        <v>0.1</v>
      </c>
      <c r="Y133" s="189"/>
      <c r="AA133">
        <f t="shared" si="11"/>
        <v>0</v>
      </c>
    </row>
    <row r="134" spans="4:27">
      <c r="G134" s="183" t="s">
        <v>19</v>
      </c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4">
        <v>1</v>
      </c>
      <c r="W134" s="184"/>
      <c r="X134" s="184">
        <v>1</v>
      </c>
      <c r="Y134" s="184"/>
      <c r="Z134">
        <v>17</v>
      </c>
      <c r="AA134">
        <f t="shared" si="11"/>
        <v>1.7000000000000001E-2</v>
      </c>
    </row>
    <row r="135" spans="4:27">
      <c r="G135" s="282" t="s">
        <v>105</v>
      </c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4"/>
      <c r="V135" s="287">
        <v>0.05</v>
      </c>
      <c r="W135" s="288"/>
      <c r="X135" s="287">
        <v>0.05</v>
      </c>
      <c r="Y135" s="288"/>
      <c r="Z135">
        <v>1000</v>
      </c>
      <c r="AA135">
        <f t="shared" si="11"/>
        <v>0.05</v>
      </c>
    </row>
    <row r="136" spans="4:27">
      <c r="G136" s="190" t="s">
        <v>21</v>
      </c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1" t="s">
        <v>22</v>
      </c>
      <c r="W136" s="191"/>
      <c r="X136" s="191" t="s">
        <v>125</v>
      </c>
      <c r="Y136" s="191"/>
    </row>
    <row r="138" spans="4:27">
      <c r="D138" s="65" t="s">
        <v>161</v>
      </c>
      <c r="E138">
        <v>240</v>
      </c>
      <c r="V138" s="182" t="s">
        <v>11</v>
      </c>
      <c r="W138" s="182"/>
      <c r="X138" s="182" t="s">
        <v>12</v>
      </c>
      <c r="Y138" s="182"/>
      <c r="AA138" s="52">
        <f>SUM(AA139:AA147)</f>
        <v>32.640100000000004</v>
      </c>
    </row>
    <row r="139" spans="4:27">
      <c r="G139" s="183" t="s">
        <v>162</v>
      </c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4">
        <v>80</v>
      </c>
      <c r="W139" s="184"/>
      <c r="X139" s="184">
        <v>72</v>
      </c>
      <c r="Y139" s="184"/>
      <c r="Z139">
        <v>270</v>
      </c>
      <c r="AA139">
        <f>Z139*V139/1000</f>
        <v>21.6</v>
      </c>
    </row>
    <row r="140" spans="4:27">
      <c r="G140" s="185" t="s">
        <v>38</v>
      </c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7"/>
      <c r="V140" s="188">
        <v>55</v>
      </c>
      <c r="W140" s="189"/>
      <c r="X140" s="188">
        <v>55</v>
      </c>
      <c r="Y140" s="189"/>
      <c r="Z140">
        <v>75</v>
      </c>
      <c r="AA140">
        <f t="shared" ref="AA140:AA147" si="12">Z140*V140/1000</f>
        <v>4.125</v>
      </c>
    </row>
    <row r="141" spans="4:27">
      <c r="G141" s="185" t="s">
        <v>45</v>
      </c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7"/>
      <c r="V141" s="188">
        <v>20</v>
      </c>
      <c r="W141" s="189"/>
      <c r="X141" s="188">
        <v>17</v>
      </c>
      <c r="Y141" s="189"/>
      <c r="Z141">
        <v>30</v>
      </c>
      <c r="AA141">
        <f t="shared" si="12"/>
        <v>0.6</v>
      </c>
    </row>
    <row r="142" spans="4:27">
      <c r="G142" s="185" t="s">
        <v>66</v>
      </c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7"/>
      <c r="V142" s="188">
        <v>21</v>
      </c>
      <c r="W142" s="189"/>
      <c r="X142" s="188">
        <v>18</v>
      </c>
      <c r="Y142" s="189"/>
      <c r="Z142">
        <v>20</v>
      </c>
      <c r="AA142">
        <f t="shared" si="12"/>
        <v>0.42</v>
      </c>
    </row>
    <row r="143" spans="4:27">
      <c r="G143" s="185" t="s">
        <v>32</v>
      </c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7"/>
      <c r="V143" s="193">
        <v>10</v>
      </c>
      <c r="W143" s="194"/>
      <c r="X143" s="193">
        <v>10</v>
      </c>
      <c r="Y143" s="194"/>
      <c r="Z143">
        <v>140</v>
      </c>
      <c r="AA143">
        <f t="shared" si="12"/>
        <v>1.4</v>
      </c>
    </row>
    <row r="144" spans="4:27">
      <c r="G144" s="185" t="s">
        <v>163</v>
      </c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7"/>
      <c r="V144" s="188">
        <v>4</v>
      </c>
      <c r="W144" s="189"/>
      <c r="X144" s="188">
        <v>4</v>
      </c>
      <c r="Y144" s="189"/>
      <c r="Z144">
        <v>135</v>
      </c>
      <c r="AA144">
        <f t="shared" si="12"/>
        <v>0.54</v>
      </c>
    </row>
    <row r="145" spans="4:27">
      <c r="G145" s="185" t="s">
        <v>18</v>
      </c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7"/>
      <c r="V145" s="188">
        <v>7</v>
      </c>
      <c r="W145" s="189"/>
      <c r="X145" s="188">
        <v>7</v>
      </c>
      <c r="Y145" s="189"/>
      <c r="Z145">
        <v>550</v>
      </c>
      <c r="AA145">
        <f t="shared" si="12"/>
        <v>3.85</v>
      </c>
    </row>
    <row r="146" spans="4:27">
      <c r="G146" s="183" t="s">
        <v>19</v>
      </c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4">
        <v>0.3</v>
      </c>
      <c r="W146" s="184"/>
      <c r="X146" s="184">
        <v>0.3</v>
      </c>
      <c r="Y146" s="184"/>
      <c r="Z146">
        <v>17</v>
      </c>
      <c r="AA146">
        <f t="shared" si="12"/>
        <v>5.0999999999999995E-3</v>
      </c>
    </row>
    <row r="147" spans="4:27">
      <c r="G147" s="282" t="s">
        <v>105</v>
      </c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4"/>
      <c r="V147" s="287">
        <v>0.1</v>
      </c>
      <c r="W147" s="288"/>
      <c r="X147" s="287">
        <v>0.1</v>
      </c>
      <c r="Y147" s="288"/>
      <c r="Z147">
        <v>1000</v>
      </c>
      <c r="AA147">
        <f t="shared" si="12"/>
        <v>0.1</v>
      </c>
    </row>
    <row r="148" spans="4:27">
      <c r="G148" s="190" t="s">
        <v>21</v>
      </c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1" t="s">
        <v>22</v>
      </c>
      <c r="W148" s="191"/>
      <c r="X148" s="192">
        <v>240</v>
      </c>
      <c r="Y148" s="192"/>
    </row>
    <row r="150" spans="4:27">
      <c r="D150" s="65" t="s">
        <v>164</v>
      </c>
      <c r="E150">
        <v>200</v>
      </c>
      <c r="V150" s="182" t="s">
        <v>11</v>
      </c>
      <c r="W150" s="182"/>
      <c r="X150" s="182" t="s">
        <v>12</v>
      </c>
      <c r="Y150" s="182"/>
      <c r="AA150" s="52">
        <f>SUM(AA151:AA154)</f>
        <v>5.7830000000000004</v>
      </c>
    </row>
    <row r="151" spans="4:27">
      <c r="G151" s="183" t="s">
        <v>82</v>
      </c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4">
        <v>45</v>
      </c>
      <c r="W151" s="184"/>
      <c r="X151" s="184">
        <v>40</v>
      </c>
      <c r="Y151" s="184"/>
      <c r="Z151">
        <v>62.4</v>
      </c>
      <c r="AA151">
        <f>V151*Z151/1000</f>
        <v>2.8079999999999998</v>
      </c>
    </row>
    <row r="152" spans="4:27">
      <c r="G152" s="185" t="s">
        <v>165</v>
      </c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7"/>
      <c r="V152" s="188">
        <v>10</v>
      </c>
      <c r="W152" s="189"/>
      <c r="X152" s="188">
        <v>8</v>
      </c>
      <c r="Y152" s="189"/>
      <c r="Z152">
        <v>215</v>
      </c>
      <c r="AA152">
        <f t="shared" ref="AA152:AA154" si="13">V152*Z152/1000</f>
        <v>2.15</v>
      </c>
    </row>
    <row r="153" spans="4:27">
      <c r="G153" s="185" t="s">
        <v>20</v>
      </c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7"/>
      <c r="V153" s="188">
        <v>15</v>
      </c>
      <c r="W153" s="189"/>
      <c r="X153" s="188">
        <v>15</v>
      </c>
      <c r="Y153" s="189"/>
      <c r="Z153">
        <v>55</v>
      </c>
      <c r="AA153">
        <f t="shared" si="13"/>
        <v>0.82499999999999996</v>
      </c>
    </row>
    <row r="154" spans="4:27">
      <c r="G154" s="185" t="s">
        <v>17</v>
      </c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7"/>
      <c r="V154" s="188">
        <v>170</v>
      </c>
      <c r="W154" s="189"/>
      <c r="X154" s="188">
        <v>170</v>
      </c>
      <c r="Y154" s="189"/>
      <c r="AA154">
        <f t="shared" si="13"/>
        <v>0</v>
      </c>
    </row>
    <row r="155" spans="4:27">
      <c r="G155" s="190" t="s">
        <v>21</v>
      </c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1" t="s">
        <v>22</v>
      </c>
      <c r="W155" s="191"/>
      <c r="X155" s="192">
        <v>200</v>
      </c>
      <c r="Y155" s="192"/>
    </row>
    <row r="157" spans="4:27">
      <c r="D157" s="62" t="s">
        <v>135</v>
      </c>
      <c r="E157">
        <v>40</v>
      </c>
      <c r="G157" s="183" t="s">
        <v>135</v>
      </c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4">
        <v>40</v>
      </c>
      <c r="W157" s="184"/>
      <c r="X157" s="184">
        <v>40</v>
      </c>
      <c r="Y157" s="184"/>
      <c r="Z157">
        <v>29.72</v>
      </c>
      <c r="AA157" s="52">
        <f>Z157/1000*V157</f>
        <v>1.1888000000000001</v>
      </c>
    </row>
    <row r="159" spans="4:27">
      <c r="D159" s="62" t="s">
        <v>35</v>
      </c>
      <c r="E159">
        <v>30</v>
      </c>
      <c r="G159" s="183" t="s">
        <v>35</v>
      </c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4">
        <v>30</v>
      </c>
      <c r="W159" s="184"/>
      <c r="X159" s="184">
        <v>30</v>
      </c>
      <c r="Y159" s="184"/>
      <c r="Z159">
        <v>45.54</v>
      </c>
      <c r="AA159" s="52">
        <f>Z159/1000*V159</f>
        <v>1.3661999999999999</v>
      </c>
    </row>
    <row r="161" spans="1:27" s="53" customFormat="1">
      <c r="D161" s="66"/>
    </row>
    <row r="162" spans="1:27">
      <c r="A162" s="56" t="s">
        <v>60</v>
      </c>
      <c r="B162" s="56" t="s">
        <v>120</v>
      </c>
      <c r="D162" s="62" t="s">
        <v>166</v>
      </c>
      <c r="E162">
        <v>60</v>
      </c>
      <c r="V162" s="182" t="s">
        <v>11</v>
      </c>
      <c r="W162" s="182"/>
      <c r="X162" s="182" t="s">
        <v>12</v>
      </c>
      <c r="Y162" s="182"/>
      <c r="AA162" s="56">
        <f>SUM(AA163:AA169)</f>
        <v>3.3729999999999998</v>
      </c>
    </row>
    <row r="163" spans="1:27">
      <c r="B163" s="56">
        <f>AA162+AA172+AA185+AA193+AA200+AA206+AA208</f>
        <v>88.742543499999996</v>
      </c>
      <c r="G163" s="183" t="s">
        <v>122</v>
      </c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4">
        <v>68</v>
      </c>
      <c r="W163" s="184"/>
      <c r="X163" s="184">
        <v>52</v>
      </c>
      <c r="Y163" s="184"/>
      <c r="Z163">
        <v>45</v>
      </c>
      <c r="AA163">
        <f>V163*Z163/1000</f>
        <v>3.06</v>
      </c>
    </row>
    <row r="164" spans="1:27">
      <c r="G164" s="185" t="s">
        <v>167</v>
      </c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7"/>
      <c r="V164" s="188">
        <v>3</v>
      </c>
      <c r="W164" s="189"/>
      <c r="X164" s="188">
        <v>2</v>
      </c>
      <c r="Y164" s="189"/>
      <c r="AA164">
        <f t="shared" ref="AA164:AA169" si="14">V164*Z164/1000</f>
        <v>0</v>
      </c>
    </row>
    <row r="165" spans="1:27">
      <c r="G165" s="185" t="s">
        <v>20</v>
      </c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7"/>
      <c r="V165" s="188">
        <v>0.2</v>
      </c>
      <c r="W165" s="189"/>
      <c r="X165" s="188">
        <v>0.2</v>
      </c>
      <c r="Y165" s="189"/>
      <c r="Z165">
        <v>55</v>
      </c>
      <c r="AA165">
        <f t="shared" si="14"/>
        <v>1.0999999999999999E-2</v>
      </c>
    </row>
    <row r="166" spans="1:27">
      <c r="G166" s="185" t="s">
        <v>168</v>
      </c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7"/>
      <c r="V166" s="188">
        <v>2</v>
      </c>
      <c r="W166" s="189"/>
      <c r="X166" s="188">
        <v>2</v>
      </c>
      <c r="Y166" s="189"/>
      <c r="Z166">
        <v>140</v>
      </c>
      <c r="AA166">
        <f t="shared" si="14"/>
        <v>0.28000000000000003</v>
      </c>
    </row>
    <row r="167" spans="1:27">
      <c r="G167" s="185" t="s">
        <v>169</v>
      </c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7"/>
      <c r="V167" s="193">
        <v>4</v>
      </c>
      <c r="W167" s="194"/>
      <c r="X167" s="188">
        <v>3</v>
      </c>
      <c r="Y167" s="189"/>
      <c r="AA167">
        <f t="shared" si="14"/>
        <v>0</v>
      </c>
    </row>
    <row r="168" spans="1:27">
      <c r="G168" s="183" t="s">
        <v>19</v>
      </c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4">
        <v>1</v>
      </c>
      <c r="W168" s="184"/>
      <c r="X168" s="184">
        <v>1</v>
      </c>
      <c r="Y168" s="184"/>
      <c r="Z168">
        <v>17</v>
      </c>
      <c r="AA168">
        <f t="shared" si="14"/>
        <v>1.7000000000000001E-2</v>
      </c>
    </row>
    <row r="169" spans="1:27">
      <c r="G169" s="282" t="s">
        <v>170</v>
      </c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4"/>
      <c r="V169" s="287">
        <v>0.01</v>
      </c>
      <c r="W169" s="288"/>
      <c r="X169" s="287">
        <v>0.01</v>
      </c>
      <c r="Y169" s="288"/>
      <c r="Z169">
        <v>500</v>
      </c>
      <c r="AA169">
        <f t="shared" si="14"/>
        <v>5.0000000000000001E-3</v>
      </c>
    </row>
    <row r="170" spans="1:27">
      <c r="G170" s="190" t="s">
        <v>21</v>
      </c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1" t="s">
        <v>22</v>
      </c>
      <c r="W170" s="191"/>
      <c r="X170" s="192">
        <v>60</v>
      </c>
      <c r="Y170" s="192"/>
    </row>
    <row r="172" spans="1:27">
      <c r="D172" s="62" t="s">
        <v>171</v>
      </c>
      <c r="E172">
        <v>200</v>
      </c>
      <c r="V172" s="182" t="s">
        <v>11</v>
      </c>
      <c r="W172" s="182"/>
      <c r="X172" s="182" t="s">
        <v>12</v>
      </c>
      <c r="Y172" s="182"/>
      <c r="AA172" s="56">
        <f>SUM(AA173:AA182)</f>
        <v>6.5102499999999992</v>
      </c>
    </row>
    <row r="173" spans="1:27">
      <c r="G173" s="183" t="s">
        <v>172</v>
      </c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4">
        <v>140</v>
      </c>
      <c r="W173" s="184"/>
      <c r="X173" s="184">
        <v>140</v>
      </c>
      <c r="Y173" s="184"/>
      <c r="AA173">
        <f t="shared" ref="AA173:AA182" si="15">V173*Z173/1000</f>
        <v>0</v>
      </c>
    </row>
    <row r="174" spans="1:27">
      <c r="G174" s="183" t="s">
        <v>129</v>
      </c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4">
        <v>70</v>
      </c>
      <c r="W174" s="184"/>
      <c r="X174" s="184">
        <v>56</v>
      </c>
      <c r="Y174" s="184"/>
      <c r="Z174">
        <v>27</v>
      </c>
      <c r="AA174">
        <f t="shared" si="15"/>
        <v>1.89</v>
      </c>
    </row>
    <row r="175" spans="1:27">
      <c r="G175" s="185" t="s">
        <v>173</v>
      </c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7"/>
      <c r="V175" s="188">
        <v>17</v>
      </c>
      <c r="W175" s="189"/>
      <c r="X175" s="188">
        <v>15</v>
      </c>
      <c r="Y175" s="189"/>
      <c r="Z175">
        <v>110</v>
      </c>
      <c r="AA175">
        <f t="shared" si="15"/>
        <v>1.87</v>
      </c>
    </row>
    <row r="176" spans="1:27">
      <c r="G176" s="183" t="s">
        <v>45</v>
      </c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8">
        <v>6</v>
      </c>
      <c r="W176" s="189"/>
      <c r="X176" s="188">
        <v>5</v>
      </c>
      <c r="Y176" s="189"/>
      <c r="Z176">
        <v>30</v>
      </c>
      <c r="AA176">
        <f t="shared" si="15"/>
        <v>0.18</v>
      </c>
    </row>
    <row r="177" spans="4:27">
      <c r="G177" s="185" t="s">
        <v>66</v>
      </c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7"/>
      <c r="V177" s="188">
        <v>5</v>
      </c>
      <c r="W177" s="189"/>
      <c r="X177" s="188">
        <v>4</v>
      </c>
      <c r="Y177" s="189"/>
      <c r="Z177">
        <v>20</v>
      </c>
      <c r="AA177">
        <f t="shared" si="15"/>
        <v>0.1</v>
      </c>
    </row>
    <row r="178" spans="4:27">
      <c r="G178" s="185" t="s">
        <v>174</v>
      </c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7"/>
      <c r="V178" s="188">
        <v>5</v>
      </c>
      <c r="W178" s="189"/>
      <c r="X178" s="188">
        <v>5</v>
      </c>
      <c r="Y178" s="189"/>
      <c r="Z178">
        <v>29.45</v>
      </c>
      <c r="AA178">
        <f t="shared" si="15"/>
        <v>0.14724999999999999</v>
      </c>
    </row>
    <row r="179" spans="4:27">
      <c r="G179" s="185" t="s">
        <v>32</v>
      </c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7"/>
      <c r="V179" s="188">
        <v>4</v>
      </c>
      <c r="W179" s="189"/>
      <c r="X179" s="188">
        <v>4</v>
      </c>
      <c r="Y179" s="189"/>
      <c r="Z179">
        <v>140</v>
      </c>
      <c r="AA179">
        <f t="shared" si="15"/>
        <v>0.56000000000000005</v>
      </c>
    </row>
    <row r="180" spans="4:27">
      <c r="G180" s="57" t="s">
        <v>19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9"/>
      <c r="V180" s="188">
        <v>1</v>
      </c>
      <c r="W180" s="189"/>
      <c r="X180" s="188">
        <v>1</v>
      </c>
      <c r="Y180" s="189"/>
      <c r="Z180">
        <v>17</v>
      </c>
      <c r="AA180">
        <f t="shared" si="15"/>
        <v>1.7000000000000001E-2</v>
      </c>
    </row>
    <row r="181" spans="4:27">
      <c r="G181" s="185" t="s">
        <v>105</v>
      </c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7"/>
      <c r="V181" s="212">
        <v>0.01</v>
      </c>
      <c r="W181" s="214"/>
      <c r="X181" s="212">
        <v>0.01</v>
      </c>
      <c r="Y181" s="214"/>
      <c r="Z181">
        <v>1000</v>
      </c>
      <c r="AA181">
        <f t="shared" si="15"/>
        <v>0.01</v>
      </c>
    </row>
    <row r="182" spans="4:27">
      <c r="G182" s="183" t="s">
        <v>54</v>
      </c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4">
        <v>10</v>
      </c>
      <c r="W182" s="184"/>
      <c r="X182" s="184">
        <v>10</v>
      </c>
      <c r="Y182" s="184"/>
      <c r="Z182">
        <v>173.6</v>
      </c>
      <c r="AA182">
        <f t="shared" si="15"/>
        <v>1.736</v>
      </c>
    </row>
    <row r="183" spans="4:27">
      <c r="G183" s="190" t="s">
        <v>21</v>
      </c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1" t="s">
        <v>22</v>
      </c>
      <c r="W183" s="191"/>
      <c r="X183" s="191" t="s">
        <v>125</v>
      </c>
      <c r="Y183" s="191"/>
    </row>
    <row r="185" spans="4:27">
      <c r="D185" s="65" t="s">
        <v>175</v>
      </c>
      <c r="E185">
        <v>90</v>
      </c>
      <c r="V185" s="182" t="s">
        <v>11</v>
      </c>
      <c r="W185" s="182"/>
      <c r="X185" s="182" t="s">
        <v>12</v>
      </c>
      <c r="Y185" s="182"/>
      <c r="AA185" s="56">
        <f>SUM(AA186:AA190)</f>
        <v>66.124633499999987</v>
      </c>
    </row>
    <row r="186" spans="4:27">
      <c r="G186" s="183" t="s">
        <v>176</v>
      </c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4">
        <f>124*X191/100</f>
        <v>111.6</v>
      </c>
      <c r="W186" s="184"/>
      <c r="X186" s="184">
        <f>101*X191/100</f>
        <v>90.9</v>
      </c>
      <c r="Y186" s="184"/>
      <c r="Z186">
        <v>548</v>
      </c>
      <c r="AA186">
        <f t="shared" ref="AA186:AA190" si="16">V186*Z186/1000</f>
        <v>61.156799999999997</v>
      </c>
    </row>
    <row r="187" spans="4:27">
      <c r="G187" s="185" t="s">
        <v>177</v>
      </c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7"/>
      <c r="V187" s="188">
        <f>15*X191/100</f>
        <v>13.5</v>
      </c>
      <c r="W187" s="189"/>
      <c r="X187" s="188">
        <f>V187</f>
        <v>13.5</v>
      </c>
      <c r="Y187" s="189"/>
      <c r="Z187">
        <v>270</v>
      </c>
      <c r="AA187">
        <f t="shared" si="16"/>
        <v>3.645</v>
      </c>
    </row>
    <row r="188" spans="4:27">
      <c r="G188" s="185" t="s">
        <v>16</v>
      </c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7"/>
      <c r="V188" s="188">
        <f>8.5*X191/100</f>
        <v>7.65</v>
      </c>
      <c r="W188" s="189"/>
      <c r="X188" s="188">
        <f>V188</f>
        <v>7.65</v>
      </c>
      <c r="Y188" s="189"/>
      <c r="Z188">
        <v>48.19</v>
      </c>
      <c r="AA188">
        <f t="shared" si="16"/>
        <v>0.36865350000000002</v>
      </c>
    </row>
    <row r="189" spans="4:27">
      <c r="G189" s="185" t="s">
        <v>32</v>
      </c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7"/>
      <c r="V189" s="188">
        <f>7.5*X191/100</f>
        <v>6.75</v>
      </c>
      <c r="W189" s="189"/>
      <c r="X189" s="188">
        <f>V189</f>
        <v>6.75</v>
      </c>
      <c r="Y189" s="189"/>
      <c r="Z189">
        <v>140</v>
      </c>
      <c r="AA189">
        <f t="shared" si="16"/>
        <v>0.94499999999999995</v>
      </c>
    </row>
    <row r="190" spans="4:27">
      <c r="G190" s="183" t="s">
        <v>19</v>
      </c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4">
        <f>0.6*X191/100</f>
        <v>0.54</v>
      </c>
      <c r="W190" s="184"/>
      <c r="X190" s="184">
        <f>V190</f>
        <v>0.54</v>
      </c>
      <c r="Y190" s="184"/>
      <c r="Z190">
        <v>17</v>
      </c>
      <c r="AA190">
        <f t="shared" si="16"/>
        <v>9.1799999999999989E-3</v>
      </c>
    </row>
    <row r="191" spans="4:27">
      <c r="G191" s="190" t="s">
        <v>21</v>
      </c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1" t="s">
        <v>22</v>
      </c>
      <c r="W191" s="191"/>
      <c r="X191" s="192">
        <v>90</v>
      </c>
      <c r="Y191" s="192"/>
    </row>
    <row r="193" spans="4:27">
      <c r="D193" s="65" t="s">
        <v>90</v>
      </c>
      <c r="E193">
        <v>150</v>
      </c>
      <c r="V193" s="182" t="s">
        <v>11</v>
      </c>
      <c r="W193" s="182"/>
      <c r="X193" s="182" t="s">
        <v>12</v>
      </c>
      <c r="Y193" s="182"/>
      <c r="AA193" s="56">
        <f>SUM(AA194:AA197)</f>
        <v>7.4016599999999988</v>
      </c>
    </row>
    <row r="194" spans="4:27">
      <c r="G194" s="183" t="s">
        <v>91</v>
      </c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4">
        <f>170*X198/150</f>
        <v>170</v>
      </c>
      <c r="W194" s="184"/>
      <c r="X194" s="184">
        <f>128*X198/150</f>
        <v>128</v>
      </c>
      <c r="Y194" s="184"/>
      <c r="Z194">
        <v>27</v>
      </c>
      <c r="AA194">
        <f t="shared" ref="AA194:AA197" si="17">V194*Z194/1000</f>
        <v>4.59</v>
      </c>
    </row>
    <row r="195" spans="4:27">
      <c r="G195" s="185" t="s">
        <v>16</v>
      </c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7"/>
      <c r="V195" s="188">
        <f>24*X198/150</f>
        <v>24</v>
      </c>
      <c r="W195" s="189"/>
      <c r="X195" s="188">
        <f>24*X198/150</f>
        <v>24</v>
      </c>
      <c r="Y195" s="189"/>
      <c r="Z195">
        <v>48.19</v>
      </c>
      <c r="AA195">
        <f t="shared" si="17"/>
        <v>1.15656</v>
      </c>
    </row>
    <row r="196" spans="4:27">
      <c r="G196" s="185" t="s">
        <v>18</v>
      </c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7"/>
      <c r="V196" s="188">
        <f>3*X198/150</f>
        <v>3</v>
      </c>
      <c r="W196" s="189"/>
      <c r="X196" s="188">
        <f>3*X198/150</f>
        <v>3</v>
      </c>
      <c r="Y196" s="189"/>
      <c r="Z196">
        <v>550</v>
      </c>
      <c r="AA196">
        <f t="shared" si="17"/>
        <v>1.65</v>
      </c>
    </row>
    <row r="197" spans="4:27">
      <c r="G197" s="183" t="s">
        <v>19</v>
      </c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4">
        <f>0.3*X198/150</f>
        <v>0.3</v>
      </c>
      <c r="W197" s="184"/>
      <c r="X197" s="184">
        <f>0.3*X198/150</f>
        <v>0.3</v>
      </c>
      <c r="Y197" s="184"/>
      <c r="Z197">
        <v>17</v>
      </c>
      <c r="AA197">
        <f t="shared" si="17"/>
        <v>5.0999999999999995E-3</v>
      </c>
    </row>
    <row r="198" spans="4:27">
      <c r="G198" s="190" t="s">
        <v>21</v>
      </c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1" t="s">
        <v>22</v>
      </c>
      <c r="W198" s="191"/>
      <c r="X198" s="192">
        <v>150</v>
      </c>
      <c r="Y198" s="192"/>
    </row>
    <row r="200" spans="4:27">
      <c r="D200" s="65" t="s">
        <v>153</v>
      </c>
      <c r="E200">
        <v>200</v>
      </c>
      <c r="V200" s="182" t="s">
        <v>11</v>
      </c>
      <c r="W200" s="182"/>
      <c r="X200" s="182" t="s">
        <v>12</v>
      </c>
      <c r="Y200" s="182"/>
      <c r="AA200" s="56">
        <f>SUM(AA201:AA203)</f>
        <v>2.7780000000000005</v>
      </c>
    </row>
    <row r="201" spans="4:27">
      <c r="G201" s="183" t="s">
        <v>154</v>
      </c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4">
        <f>20*X204/180</f>
        <v>22.222222222222221</v>
      </c>
      <c r="W201" s="184"/>
      <c r="X201" s="184">
        <f>V201</f>
        <v>22.222222222222221</v>
      </c>
      <c r="Y201" s="184"/>
      <c r="Z201">
        <v>97.51</v>
      </c>
      <c r="AA201">
        <f t="shared" ref="AA201:AA203" si="18">V201*Z201/1000</f>
        <v>2.1668888888888893</v>
      </c>
    </row>
    <row r="202" spans="4:27">
      <c r="G202" s="185" t="s">
        <v>20</v>
      </c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7"/>
      <c r="V202" s="188">
        <f>10*X204/180</f>
        <v>11.111111111111111</v>
      </c>
      <c r="W202" s="189"/>
      <c r="X202" s="188">
        <f>V202</f>
        <v>11.111111111111111</v>
      </c>
      <c r="Y202" s="189"/>
      <c r="Z202">
        <v>55</v>
      </c>
      <c r="AA202">
        <f t="shared" si="18"/>
        <v>0.61111111111111105</v>
      </c>
    </row>
    <row r="203" spans="4:27">
      <c r="G203" s="185" t="s">
        <v>17</v>
      </c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7"/>
      <c r="V203" s="188">
        <f>180*X204/180</f>
        <v>200</v>
      </c>
      <c r="W203" s="189"/>
      <c r="X203" s="188">
        <f>V203</f>
        <v>200</v>
      </c>
      <c r="Y203" s="189"/>
      <c r="AA203">
        <f t="shared" si="18"/>
        <v>0</v>
      </c>
    </row>
    <row r="204" spans="4:27">
      <c r="G204" s="190" t="s">
        <v>21</v>
      </c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1" t="s">
        <v>22</v>
      </c>
      <c r="W204" s="191"/>
      <c r="X204" s="192">
        <v>200</v>
      </c>
      <c r="Y204" s="192"/>
    </row>
    <row r="206" spans="4:27">
      <c r="D206" s="62" t="s">
        <v>135</v>
      </c>
      <c r="E206">
        <v>40</v>
      </c>
      <c r="G206" s="183" t="s">
        <v>135</v>
      </c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4">
        <v>40</v>
      </c>
      <c r="W206" s="184"/>
      <c r="X206" s="184">
        <v>40</v>
      </c>
      <c r="Y206" s="184"/>
      <c r="Z206">
        <v>29.72</v>
      </c>
      <c r="AA206" s="56">
        <f>Z206/1000*V206</f>
        <v>1.1888000000000001</v>
      </c>
    </row>
    <row r="208" spans="4:27">
      <c r="D208" s="62" t="s">
        <v>35</v>
      </c>
      <c r="E208">
        <v>30</v>
      </c>
      <c r="G208" s="183" t="s">
        <v>35</v>
      </c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4">
        <v>30</v>
      </c>
      <c r="W208" s="184"/>
      <c r="X208" s="184">
        <v>30</v>
      </c>
      <c r="Y208" s="184"/>
      <c r="Z208">
        <v>45.54</v>
      </c>
      <c r="AA208" s="56">
        <f>Z208/1000*V208</f>
        <v>1.3661999999999999</v>
      </c>
    </row>
    <row r="210" spans="1:27" s="53" customFormat="1">
      <c r="D210" s="66"/>
    </row>
    <row r="211" spans="1:27">
      <c r="A211" s="60" t="s">
        <v>73</v>
      </c>
      <c r="B211" s="60" t="s">
        <v>120</v>
      </c>
      <c r="D211" s="62" t="s">
        <v>136</v>
      </c>
      <c r="E211">
        <v>60</v>
      </c>
      <c r="V211" s="8" t="s">
        <v>11</v>
      </c>
      <c r="W211" s="8"/>
      <c r="X211" s="8" t="s">
        <v>12</v>
      </c>
      <c r="Y211" s="8"/>
      <c r="AA211" s="60">
        <f>SUM(AA212:AA214)</f>
        <v>3.1055000000000001</v>
      </c>
    </row>
    <row r="212" spans="1:27">
      <c r="B212" s="60">
        <f>AA211+AA217+AA231+AA240+AA252+AA258+AA260</f>
        <v>57.104649999999992</v>
      </c>
      <c r="G212" s="183" t="s">
        <v>137</v>
      </c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9">
        <v>76</v>
      </c>
      <c r="W212" s="9"/>
      <c r="X212" s="9">
        <v>57</v>
      </c>
      <c r="Y212" s="9"/>
      <c r="Z212">
        <v>35</v>
      </c>
      <c r="AA212">
        <f>V212*Z212/1000</f>
        <v>2.66</v>
      </c>
    </row>
    <row r="213" spans="1:27">
      <c r="G213" s="183" t="s">
        <v>19</v>
      </c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9">
        <v>1.5</v>
      </c>
      <c r="W213" s="9"/>
      <c r="X213" s="9">
        <v>1.5</v>
      </c>
      <c r="Y213" s="9"/>
      <c r="Z213">
        <v>17</v>
      </c>
      <c r="AA213">
        <f t="shared" ref="AA213:AA214" si="19">V213*Z213/1000</f>
        <v>2.5499999999999998E-2</v>
      </c>
    </row>
    <row r="214" spans="1:27">
      <c r="G214" s="183" t="s">
        <v>32</v>
      </c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9">
        <v>3</v>
      </c>
      <c r="W214" s="9"/>
      <c r="X214" s="9">
        <v>3</v>
      </c>
      <c r="Y214" s="9"/>
      <c r="Z214">
        <v>140</v>
      </c>
      <c r="AA214">
        <f t="shared" si="19"/>
        <v>0.42</v>
      </c>
    </row>
    <row r="215" spans="1:27">
      <c r="G215" s="190" t="s">
        <v>21</v>
      </c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1" t="s">
        <v>22</v>
      </c>
      <c r="W215" s="191"/>
      <c r="X215" s="192">
        <v>60</v>
      </c>
      <c r="Y215" s="192"/>
    </row>
    <row r="217" spans="1:27">
      <c r="D217" s="65" t="s">
        <v>178</v>
      </c>
      <c r="E217" t="s">
        <v>179</v>
      </c>
      <c r="V217" s="182" t="s">
        <v>11</v>
      </c>
      <c r="W217" s="182"/>
      <c r="X217" s="182" t="s">
        <v>12</v>
      </c>
      <c r="Y217" s="182"/>
      <c r="AA217" s="60">
        <f>SUM(AA218:AA228)</f>
        <v>10.09394</v>
      </c>
    </row>
    <row r="218" spans="1:27">
      <c r="G218" s="183" t="s">
        <v>91</v>
      </c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4">
        <v>120</v>
      </c>
      <c r="W218" s="184"/>
      <c r="X218" s="184">
        <v>90</v>
      </c>
      <c r="Y218" s="184"/>
      <c r="Z218">
        <v>27</v>
      </c>
      <c r="AA218">
        <f>Z218*V218/1000</f>
        <v>3.24</v>
      </c>
    </row>
    <row r="219" spans="1:27">
      <c r="G219" s="185" t="s">
        <v>45</v>
      </c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7"/>
      <c r="V219" s="188">
        <v>10</v>
      </c>
      <c r="W219" s="189"/>
      <c r="X219" s="188">
        <v>8</v>
      </c>
      <c r="Y219" s="189"/>
      <c r="Z219">
        <v>30</v>
      </c>
      <c r="AA219">
        <f t="shared" ref="AA219:AA228" si="20">Z219*V219/1000</f>
        <v>0.3</v>
      </c>
    </row>
    <row r="220" spans="1:27">
      <c r="G220" s="185" t="s">
        <v>66</v>
      </c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7"/>
      <c r="V220" s="188">
        <v>12</v>
      </c>
      <c r="W220" s="189"/>
      <c r="X220" s="188">
        <v>10</v>
      </c>
      <c r="Y220" s="189"/>
      <c r="Z220">
        <v>20</v>
      </c>
      <c r="AA220">
        <f t="shared" si="20"/>
        <v>0.24</v>
      </c>
    </row>
    <row r="221" spans="1:27">
      <c r="G221" s="185" t="s">
        <v>32</v>
      </c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7"/>
      <c r="V221" s="188">
        <v>2</v>
      </c>
      <c r="W221" s="189"/>
      <c r="X221" s="188">
        <v>2</v>
      </c>
      <c r="Y221" s="189"/>
      <c r="Z221">
        <v>140</v>
      </c>
      <c r="AA221">
        <f t="shared" si="20"/>
        <v>0.28000000000000003</v>
      </c>
    </row>
    <row r="222" spans="1:27">
      <c r="G222" s="185" t="s">
        <v>138</v>
      </c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7"/>
      <c r="V222" s="193">
        <v>140</v>
      </c>
      <c r="W222" s="194"/>
      <c r="X222" s="188">
        <v>140</v>
      </c>
      <c r="Y222" s="189"/>
      <c r="AA222">
        <f t="shared" si="20"/>
        <v>0</v>
      </c>
    </row>
    <row r="223" spans="1:27">
      <c r="G223" s="185" t="s">
        <v>180</v>
      </c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7"/>
      <c r="V223" s="188">
        <v>30</v>
      </c>
      <c r="W223" s="189"/>
      <c r="X223" s="188">
        <v>30</v>
      </c>
      <c r="Y223" s="189"/>
      <c r="AA223">
        <f t="shared" si="20"/>
        <v>0</v>
      </c>
    </row>
    <row r="224" spans="1:27">
      <c r="G224" s="185" t="s">
        <v>151</v>
      </c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7"/>
      <c r="V224" s="188">
        <v>38</v>
      </c>
      <c r="W224" s="189"/>
      <c r="X224" s="188">
        <v>30</v>
      </c>
      <c r="Y224" s="189"/>
      <c r="Z224">
        <v>149.13</v>
      </c>
      <c r="AA224">
        <f t="shared" si="20"/>
        <v>5.6669399999999994</v>
      </c>
    </row>
    <row r="225" spans="4:27">
      <c r="G225" s="185" t="s">
        <v>102</v>
      </c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7"/>
      <c r="V225" s="188">
        <v>1.5</v>
      </c>
      <c r="W225" s="189"/>
      <c r="X225" s="188">
        <v>1.5</v>
      </c>
      <c r="Y225" s="189"/>
      <c r="Z225">
        <v>140</v>
      </c>
      <c r="AA225">
        <f t="shared" si="20"/>
        <v>0.21</v>
      </c>
    </row>
    <row r="226" spans="4:27">
      <c r="G226" s="185" t="s">
        <v>66</v>
      </c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7"/>
      <c r="V226" s="188">
        <v>7</v>
      </c>
      <c r="W226" s="189"/>
      <c r="X226" s="188">
        <v>6</v>
      </c>
      <c r="Y226" s="189"/>
      <c r="Z226">
        <v>20</v>
      </c>
      <c r="AA226">
        <f t="shared" si="20"/>
        <v>0.14000000000000001</v>
      </c>
    </row>
    <row r="227" spans="4:27">
      <c r="G227" s="185" t="s">
        <v>138</v>
      </c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7"/>
      <c r="V227" s="188">
        <v>2.7</v>
      </c>
      <c r="W227" s="189"/>
      <c r="X227" s="188">
        <v>2.7</v>
      </c>
      <c r="Y227" s="189"/>
      <c r="AA227">
        <f t="shared" si="20"/>
        <v>0</v>
      </c>
    </row>
    <row r="228" spans="4:27">
      <c r="G228" s="183" t="s">
        <v>19</v>
      </c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4">
        <v>1</v>
      </c>
      <c r="W228" s="184"/>
      <c r="X228" s="184">
        <v>1</v>
      </c>
      <c r="Y228" s="184"/>
      <c r="Z228">
        <v>17</v>
      </c>
      <c r="AA228">
        <f t="shared" si="20"/>
        <v>1.7000000000000001E-2</v>
      </c>
    </row>
    <row r="229" spans="4:27">
      <c r="G229" s="190" t="s">
        <v>21</v>
      </c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1" t="s">
        <v>22</v>
      </c>
      <c r="W229" s="191"/>
      <c r="X229" s="191" t="s">
        <v>179</v>
      </c>
      <c r="Y229" s="191"/>
    </row>
    <row r="231" spans="4:27">
      <c r="D231" s="65" t="s">
        <v>181</v>
      </c>
      <c r="E231">
        <v>90</v>
      </c>
      <c r="V231" s="182" t="s">
        <v>11</v>
      </c>
      <c r="W231" s="182"/>
      <c r="X231" s="182" t="s">
        <v>12</v>
      </c>
      <c r="Y231" s="182"/>
      <c r="AA231" s="60">
        <f>SUM(AA232:AA237)</f>
        <v>27.560709999999997</v>
      </c>
    </row>
    <row r="232" spans="4:27">
      <c r="G232" s="183" t="s">
        <v>182</v>
      </c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4">
        <v>87</v>
      </c>
      <c r="W232" s="184"/>
      <c r="X232" s="184">
        <v>77</v>
      </c>
      <c r="Y232" s="184"/>
      <c r="Z232">
        <v>270</v>
      </c>
      <c r="AA232">
        <f>Z232*V232/1000</f>
        <v>23.49</v>
      </c>
    </row>
    <row r="233" spans="4:27">
      <c r="G233" s="185" t="s">
        <v>35</v>
      </c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7"/>
      <c r="V233" s="188">
        <v>14.5</v>
      </c>
      <c r="W233" s="189"/>
      <c r="X233" s="188">
        <v>14.5</v>
      </c>
      <c r="Y233" s="189"/>
      <c r="Z233">
        <v>45.54</v>
      </c>
      <c r="AA233">
        <f t="shared" ref="AA233:AA237" si="21">Z233*V233/1000</f>
        <v>0.66033000000000008</v>
      </c>
    </row>
    <row r="234" spans="4:27">
      <c r="G234" s="185" t="s">
        <v>16</v>
      </c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7"/>
      <c r="V234" s="188">
        <v>22</v>
      </c>
      <c r="W234" s="189"/>
      <c r="X234" s="188">
        <v>22</v>
      </c>
      <c r="Y234" s="189"/>
      <c r="Z234">
        <v>48.19</v>
      </c>
      <c r="AA234">
        <f t="shared" si="21"/>
        <v>1.0601799999999999</v>
      </c>
    </row>
    <row r="235" spans="4:27">
      <c r="G235" s="185" t="s">
        <v>36</v>
      </c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7"/>
      <c r="V235" s="188">
        <v>10</v>
      </c>
      <c r="W235" s="189"/>
      <c r="X235" s="188">
        <v>10</v>
      </c>
      <c r="Y235" s="189"/>
      <c r="Z235">
        <v>150</v>
      </c>
      <c r="AA235">
        <f t="shared" si="21"/>
        <v>1.5</v>
      </c>
    </row>
    <row r="236" spans="4:27">
      <c r="G236" s="185" t="s">
        <v>32</v>
      </c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7"/>
      <c r="V236" s="193">
        <v>6</v>
      </c>
      <c r="W236" s="194"/>
      <c r="X236" s="188">
        <v>6</v>
      </c>
      <c r="Y236" s="189"/>
      <c r="Z236">
        <v>140</v>
      </c>
      <c r="AA236">
        <f t="shared" si="21"/>
        <v>0.84</v>
      </c>
    </row>
    <row r="237" spans="4:27">
      <c r="G237" s="183" t="s">
        <v>19</v>
      </c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4">
        <v>0.6</v>
      </c>
      <c r="W237" s="184"/>
      <c r="X237" s="184">
        <v>0.6</v>
      </c>
      <c r="Y237" s="184"/>
      <c r="Z237">
        <v>17</v>
      </c>
      <c r="AA237">
        <f t="shared" si="21"/>
        <v>1.0199999999999999E-2</v>
      </c>
    </row>
    <row r="238" spans="4:27">
      <c r="G238" s="190" t="s">
        <v>21</v>
      </c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1" t="s">
        <v>22</v>
      </c>
      <c r="W238" s="191"/>
      <c r="X238" s="192">
        <v>90</v>
      </c>
      <c r="Y238" s="192"/>
    </row>
    <row r="240" spans="4:27">
      <c r="D240" s="65" t="s">
        <v>183</v>
      </c>
      <c r="E240">
        <v>150</v>
      </c>
      <c r="V240" s="182" t="s">
        <v>11</v>
      </c>
      <c r="W240" s="182"/>
      <c r="X240" s="182" t="s">
        <v>12</v>
      </c>
      <c r="Y240" s="182"/>
      <c r="AA240" s="60">
        <f>SUM(AA241:AA249)</f>
        <v>12.3405</v>
      </c>
    </row>
    <row r="241" spans="4:27">
      <c r="G241" s="183" t="s">
        <v>184</v>
      </c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4">
        <f>195*X250/150</f>
        <v>195</v>
      </c>
      <c r="W241" s="184"/>
      <c r="X241" s="184">
        <f>171*X250/150</f>
        <v>171</v>
      </c>
      <c r="Y241" s="184"/>
      <c r="Z241">
        <v>45</v>
      </c>
      <c r="AA241">
        <f>V241*Z241/1000</f>
        <v>8.7750000000000004</v>
      </c>
    </row>
    <row r="242" spans="4:27">
      <c r="G242" s="185" t="s">
        <v>32</v>
      </c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7"/>
      <c r="V242" s="188">
        <f>5*X250/150</f>
        <v>5</v>
      </c>
      <c r="W242" s="189"/>
      <c r="X242" s="188">
        <f>V242</f>
        <v>5</v>
      </c>
      <c r="Y242" s="189"/>
      <c r="Z242">
        <v>140</v>
      </c>
      <c r="AA242">
        <f t="shared" ref="AA242:AA249" si="22">V242*Z242/1000</f>
        <v>0.7</v>
      </c>
    </row>
    <row r="243" spans="4:27">
      <c r="G243" s="185" t="s">
        <v>45</v>
      </c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7"/>
      <c r="V243" s="188">
        <f>5*X250/150</f>
        <v>5</v>
      </c>
      <c r="W243" s="189"/>
      <c r="X243" s="188">
        <f>4*X250/150</f>
        <v>4</v>
      </c>
      <c r="Y243" s="189"/>
      <c r="Z243">
        <v>30</v>
      </c>
      <c r="AA243">
        <f t="shared" si="22"/>
        <v>0.15</v>
      </c>
    </row>
    <row r="244" spans="4:27">
      <c r="G244" s="185" t="s">
        <v>66</v>
      </c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7"/>
      <c r="V244" s="188">
        <f>6*X250/150</f>
        <v>6</v>
      </c>
      <c r="W244" s="189"/>
      <c r="X244" s="188">
        <f>5*X250/150</f>
        <v>5</v>
      </c>
      <c r="Y244" s="189"/>
      <c r="Z244">
        <v>20</v>
      </c>
      <c r="AA244">
        <f t="shared" si="22"/>
        <v>0.12</v>
      </c>
    </row>
    <row r="245" spans="4:27">
      <c r="G245" s="185" t="s">
        <v>163</v>
      </c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7"/>
      <c r="V245" s="193">
        <f>6*X250/150</f>
        <v>6</v>
      </c>
      <c r="W245" s="194"/>
      <c r="X245" s="188">
        <f>V245</f>
        <v>6</v>
      </c>
      <c r="Y245" s="189"/>
      <c r="Z245">
        <v>135</v>
      </c>
      <c r="AA245">
        <f t="shared" si="22"/>
        <v>0.81</v>
      </c>
    </row>
    <row r="246" spans="4:27">
      <c r="G246" s="185" t="s">
        <v>185</v>
      </c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7"/>
      <c r="V246" s="188">
        <f>3*X250/150</f>
        <v>3</v>
      </c>
      <c r="W246" s="189"/>
      <c r="X246" s="188">
        <f>V246</f>
        <v>3</v>
      </c>
      <c r="Y246" s="189"/>
      <c r="Z246">
        <v>500</v>
      </c>
      <c r="AA246">
        <f t="shared" si="22"/>
        <v>1.5</v>
      </c>
    </row>
    <row r="247" spans="4:27">
      <c r="G247" s="185" t="s">
        <v>104</v>
      </c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7"/>
      <c r="V247" s="188">
        <f>1.5*X250/150</f>
        <v>1.5</v>
      </c>
      <c r="W247" s="189"/>
      <c r="X247" s="188">
        <f>V247</f>
        <v>1.5</v>
      </c>
      <c r="Y247" s="189"/>
      <c r="Z247">
        <v>37</v>
      </c>
      <c r="AA247">
        <f t="shared" si="22"/>
        <v>5.5500000000000001E-2</v>
      </c>
    </row>
    <row r="248" spans="4:27">
      <c r="G248" s="185" t="s">
        <v>20</v>
      </c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7"/>
      <c r="V248" s="188">
        <f>4*X250/150</f>
        <v>4</v>
      </c>
      <c r="W248" s="189"/>
      <c r="X248" s="188">
        <f>V248</f>
        <v>4</v>
      </c>
      <c r="Y248" s="189"/>
      <c r="Z248">
        <v>55</v>
      </c>
      <c r="AA248">
        <f t="shared" si="22"/>
        <v>0.22</v>
      </c>
    </row>
    <row r="249" spans="4:27">
      <c r="G249" s="282" t="s">
        <v>105</v>
      </c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283"/>
      <c r="S249" s="283"/>
      <c r="T249" s="283"/>
      <c r="U249" s="284"/>
      <c r="V249" s="287">
        <f>0.01*X250/150</f>
        <v>0.01</v>
      </c>
      <c r="W249" s="288"/>
      <c r="X249" s="287">
        <f>V249</f>
        <v>0.01</v>
      </c>
      <c r="Y249" s="288"/>
      <c r="Z249">
        <v>1000</v>
      </c>
      <c r="AA249">
        <f t="shared" si="22"/>
        <v>0.01</v>
      </c>
    </row>
    <row r="250" spans="4:27">
      <c r="G250" s="190" t="s">
        <v>21</v>
      </c>
      <c r="H250" s="190"/>
      <c r="I250" s="190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1" t="s">
        <v>22</v>
      </c>
      <c r="W250" s="191"/>
      <c r="X250" s="192">
        <v>150</v>
      </c>
      <c r="Y250" s="192"/>
    </row>
    <row r="252" spans="4:27">
      <c r="D252" s="65" t="s">
        <v>186</v>
      </c>
      <c r="E252">
        <v>200</v>
      </c>
      <c r="V252" s="182" t="s">
        <v>11</v>
      </c>
      <c r="W252" s="182"/>
      <c r="X252" s="182" t="s">
        <v>12</v>
      </c>
      <c r="Y252" s="182"/>
      <c r="AA252" s="60">
        <f>SUM(AA253:AA255)</f>
        <v>1.4489999999999998</v>
      </c>
    </row>
    <row r="253" spans="4:27">
      <c r="G253" s="183" t="s">
        <v>82</v>
      </c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281">
        <v>10</v>
      </c>
      <c r="W253" s="281"/>
      <c r="X253" s="281">
        <v>9</v>
      </c>
      <c r="Y253" s="281"/>
      <c r="Z253">
        <v>62.4</v>
      </c>
      <c r="AA253">
        <f>V253*Z253/1000</f>
        <v>0.624</v>
      </c>
    </row>
    <row r="254" spans="4:27">
      <c r="G254" s="183" t="s">
        <v>187</v>
      </c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281">
        <v>5</v>
      </c>
      <c r="W254" s="281"/>
      <c r="X254" s="281">
        <v>5</v>
      </c>
      <c r="Y254" s="281"/>
      <c r="AA254">
        <f t="shared" ref="AA254:AA255" si="23">V254*Z254/1000</f>
        <v>0</v>
      </c>
    </row>
    <row r="255" spans="4:27">
      <c r="G255" s="183" t="s">
        <v>20</v>
      </c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281">
        <v>15</v>
      </c>
      <c r="W255" s="281"/>
      <c r="X255" s="281">
        <v>15</v>
      </c>
      <c r="Y255" s="281"/>
      <c r="Z255">
        <v>55</v>
      </c>
      <c r="AA255">
        <f t="shared" si="23"/>
        <v>0.82499999999999996</v>
      </c>
    </row>
    <row r="256" spans="4:27"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190"/>
      <c r="V256" s="191" t="s">
        <v>22</v>
      </c>
      <c r="W256" s="191"/>
      <c r="X256" s="371">
        <v>200</v>
      </c>
      <c r="Y256" s="371"/>
    </row>
    <row r="258" spans="1:27">
      <c r="D258" s="62" t="s">
        <v>135</v>
      </c>
      <c r="E258">
        <v>40</v>
      </c>
      <c r="G258" s="183" t="s">
        <v>135</v>
      </c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4">
        <v>40</v>
      </c>
      <c r="W258" s="184"/>
      <c r="X258" s="184">
        <v>40</v>
      </c>
      <c r="Y258" s="184"/>
      <c r="Z258">
        <v>29.72</v>
      </c>
      <c r="AA258" s="60">
        <f>Z258/1000*V258</f>
        <v>1.1888000000000001</v>
      </c>
    </row>
    <row r="260" spans="1:27">
      <c r="D260" s="62" t="s">
        <v>35</v>
      </c>
      <c r="E260">
        <v>30</v>
      </c>
      <c r="G260" s="183" t="s">
        <v>35</v>
      </c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4">
        <v>30</v>
      </c>
      <c r="W260" s="184"/>
      <c r="X260" s="184">
        <v>30</v>
      </c>
      <c r="Y260" s="184"/>
      <c r="Z260">
        <v>45.54</v>
      </c>
      <c r="AA260" s="60">
        <f>Z260/1000*V260</f>
        <v>1.3661999999999999</v>
      </c>
    </row>
    <row r="262" spans="1:27" s="61" customFormat="1">
      <c r="D262" s="67"/>
    </row>
    <row r="263" spans="1:27">
      <c r="A263" t="s">
        <v>83</v>
      </c>
      <c r="B263" t="s">
        <v>188</v>
      </c>
    </row>
  </sheetData>
  <mergeCells count="591">
    <mergeCell ref="G258:U258"/>
    <mergeCell ref="V258:W258"/>
    <mergeCell ref="X258:Y258"/>
    <mergeCell ref="G260:U260"/>
    <mergeCell ref="V260:W260"/>
    <mergeCell ref="X260:Y260"/>
    <mergeCell ref="G256:U256"/>
    <mergeCell ref="V252:W252"/>
    <mergeCell ref="X252:Y252"/>
    <mergeCell ref="V253:W253"/>
    <mergeCell ref="X253:Y253"/>
    <mergeCell ref="V254:W254"/>
    <mergeCell ref="X254:Y254"/>
    <mergeCell ref="V255:W255"/>
    <mergeCell ref="X255:Y255"/>
    <mergeCell ref="V256:W256"/>
    <mergeCell ref="X256:Y256"/>
    <mergeCell ref="V250:W250"/>
    <mergeCell ref="X250:Y250"/>
    <mergeCell ref="G253:U253"/>
    <mergeCell ref="G254:U254"/>
    <mergeCell ref="G255:U255"/>
    <mergeCell ref="V247:W247"/>
    <mergeCell ref="X247:Y247"/>
    <mergeCell ref="V248:W248"/>
    <mergeCell ref="X248:Y248"/>
    <mergeCell ref="V249:W249"/>
    <mergeCell ref="X249:Y249"/>
    <mergeCell ref="G249:U249"/>
    <mergeCell ref="G250:U250"/>
    <mergeCell ref="V240:W240"/>
    <mergeCell ref="X240:Y240"/>
    <mergeCell ref="V241:W241"/>
    <mergeCell ref="X241:Y241"/>
    <mergeCell ref="V242:W242"/>
    <mergeCell ref="X242:Y242"/>
    <mergeCell ref="V243:W243"/>
    <mergeCell ref="X243:Y243"/>
    <mergeCell ref="V244:W244"/>
    <mergeCell ref="X244:Y244"/>
    <mergeCell ref="V245:W245"/>
    <mergeCell ref="X245:Y245"/>
    <mergeCell ref="V246:W246"/>
    <mergeCell ref="X246:Y246"/>
    <mergeCell ref="G244:U244"/>
    <mergeCell ref="G245:U245"/>
    <mergeCell ref="G246:U246"/>
    <mergeCell ref="G247:U247"/>
    <mergeCell ref="G248:U248"/>
    <mergeCell ref="V238:W238"/>
    <mergeCell ref="X238:Y238"/>
    <mergeCell ref="G241:U241"/>
    <mergeCell ref="G242:U242"/>
    <mergeCell ref="G243:U243"/>
    <mergeCell ref="G237:U237"/>
    <mergeCell ref="G238:U238"/>
    <mergeCell ref="V231:W231"/>
    <mergeCell ref="X231:Y231"/>
    <mergeCell ref="V232:W232"/>
    <mergeCell ref="X232:Y232"/>
    <mergeCell ref="V233:W233"/>
    <mergeCell ref="X233:Y233"/>
    <mergeCell ref="V234:W234"/>
    <mergeCell ref="X234:Y234"/>
    <mergeCell ref="V235:W235"/>
    <mergeCell ref="X235:Y235"/>
    <mergeCell ref="V236:W236"/>
    <mergeCell ref="X236:Y236"/>
    <mergeCell ref="V237:W237"/>
    <mergeCell ref="X237:Y237"/>
    <mergeCell ref="G232:U232"/>
    <mergeCell ref="G233:U233"/>
    <mergeCell ref="G234:U234"/>
    <mergeCell ref="G235:U235"/>
    <mergeCell ref="G236:U236"/>
    <mergeCell ref="V227:W227"/>
    <mergeCell ref="X227:Y227"/>
    <mergeCell ref="V228:W228"/>
    <mergeCell ref="X228:Y228"/>
    <mergeCell ref="V229:W229"/>
    <mergeCell ref="X229:Y229"/>
    <mergeCell ref="X224:Y224"/>
    <mergeCell ref="V225:W225"/>
    <mergeCell ref="X225:Y225"/>
    <mergeCell ref="V226:W226"/>
    <mergeCell ref="X226:Y226"/>
    <mergeCell ref="G229:U229"/>
    <mergeCell ref="G228:U228"/>
    <mergeCell ref="V224:W224"/>
    <mergeCell ref="G224:U224"/>
    <mergeCell ref="G225:U225"/>
    <mergeCell ref="G226:U226"/>
    <mergeCell ref="G227:U227"/>
    <mergeCell ref="G219:U219"/>
    <mergeCell ref="G220:U220"/>
    <mergeCell ref="G221:U221"/>
    <mergeCell ref="G222:U222"/>
    <mergeCell ref="G223:U223"/>
    <mergeCell ref="G214:U214"/>
    <mergeCell ref="G215:U215"/>
    <mergeCell ref="V215:W215"/>
    <mergeCell ref="X215:Y215"/>
    <mergeCell ref="G218:U218"/>
    <mergeCell ref="V222:W222"/>
    <mergeCell ref="X222:Y222"/>
    <mergeCell ref="V223:W223"/>
    <mergeCell ref="X223:Y223"/>
    <mergeCell ref="V217:W217"/>
    <mergeCell ref="X217:Y217"/>
    <mergeCell ref="V218:W218"/>
    <mergeCell ref="X218:Y218"/>
    <mergeCell ref="V219:W219"/>
    <mergeCell ref="X219:Y219"/>
    <mergeCell ref="V220:W220"/>
    <mergeCell ref="X220:Y220"/>
    <mergeCell ref="V221:W221"/>
    <mergeCell ref="X221:Y221"/>
    <mergeCell ref="G208:U208"/>
    <mergeCell ref="V208:W208"/>
    <mergeCell ref="X208:Y208"/>
    <mergeCell ref="G212:U212"/>
    <mergeCell ref="G213:U213"/>
    <mergeCell ref="G204:U204"/>
    <mergeCell ref="V204:W204"/>
    <mergeCell ref="X204:Y204"/>
    <mergeCell ref="G206:U206"/>
    <mergeCell ref="V206:W206"/>
    <mergeCell ref="X206:Y206"/>
    <mergeCell ref="G202:U202"/>
    <mergeCell ref="V202:W202"/>
    <mergeCell ref="X202:Y202"/>
    <mergeCell ref="G203:U203"/>
    <mergeCell ref="V203:W203"/>
    <mergeCell ref="X203:Y203"/>
    <mergeCell ref="V200:W200"/>
    <mergeCell ref="X200:Y200"/>
    <mergeCell ref="G201:U201"/>
    <mergeCell ref="V201:W201"/>
    <mergeCell ref="X201:Y201"/>
    <mergeCell ref="V196:W196"/>
    <mergeCell ref="X196:Y196"/>
    <mergeCell ref="V197:W197"/>
    <mergeCell ref="X197:Y197"/>
    <mergeCell ref="V198:W198"/>
    <mergeCell ref="X198:Y198"/>
    <mergeCell ref="V193:W193"/>
    <mergeCell ref="X193:Y193"/>
    <mergeCell ref="V194:W194"/>
    <mergeCell ref="X194:Y194"/>
    <mergeCell ref="V195:W195"/>
    <mergeCell ref="X195:Y195"/>
    <mergeCell ref="G194:U194"/>
    <mergeCell ref="G195:U195"/>
    <mergeCell ref="G196:U196"/>
    <mergeCell ref="G197:U197"/>
    <mergeCell ref="G198:U198"/>
    <mergeCell ref="G191:U191"/>
    <mergeCell ref="V185:W185"/>
    <mergeCell ref="X185:Y185"/>
    <mergeCell ref="V186:W186"/>
    <mergeCell ref="X186:Y186"/>
    <mergeCell ref="V187:W187"/>
    <mergeCell ref="X187:Y187"/>
    <mergeCell ref="V188:W188"/>
    <mergeCell ref="X188:Y188"/>
    <mergeCell ref="V189:W189"/>
    <mergeCell ref="X189:Y189"/>
    <mergeCell ref="V190:W190"/>
    <mergeCell ref="X190:Y190"/>
    <mergeCell ref="V191:W191"/>
    <mergeCell ref="X191:Y191"/>
    <mergeCell ref="G186:U186"/>
    <mergeCell ref="G187:U187"/>
    <mergeCell ref="G188:U188"/>
    <mergeCell ref="G189:U189"/>
    <mergeCell ref="X174:Y174"/>
    <mergeCell ref="G190:U190"/>
    <mergeCell ref="V181:W181"/>
    <mergeCell ref="X181:Y181"/>
    <mergeCell ref="V182:W182"/>
    <mergeCell ref="X182:Y182"/>
    <mergeCell ref="V183:W183"/>
    <mergeCell ref="X183:Y183"/>
    <mergeCell ref="V178:W178"/>
    <mergeCell ref="X178:Y178"/>
    <mergeCell ref="V179:W179"/>
    <mergeCell ref="X179:Y179"/>
    <mergeCell ref="V180:W180"/>
    <mergeCell ref="X180:Y180"/>
    <mergeCell ref="G178:U178"/>
    <mergeCell ref="G179:U179"/>
    <mergeCell ref="G181:U181"/>
    <mergeCell ref="G182:U182"/>
    <mergeCell ref="G183:U183"/>
    <mergeCell ref="G173:U173"/>
    <mergeCell ref="G174:U174"/>
    <mergeCell ref="G175:U175"/>
    <mergeCell ref="G176:U176"/>
    <mergeCell ref="G177:U177"/>
    <mergeCell ref="X168:Y168"/>
    <mergeCell ref="V169:W169"/>
    <mergeCell ref="X169:Y169"/>
    <mergeCell ref="V170:W170"/>
    <mergeCell ref="X170:Y170"/>
    <mergeCell ref="G168:U168"/>
    <mergeCell ref="G169:U169"/>
    <mergeCell ref="G170:U170"/>
    <mergeCell ref="V175:W175"/>
    <mergeCell ref="X175:Y175"/>
    <mergeCell ref="V176:W176"/>
    <mergeCell ref="X176:Y176"/>
    <mergeCell ref="V177:W177"/>
    <mergeCell ref="X177:Y177"/>
    <mergeCell ref="V172:W172"/>
    <mergeCell ref="X172:Y172"/>
    <mergeCell ref="V173:W173"/>
    <mergeCell ref="X173:Y173"/>
    <mergeCell ref="V174:W174"/>
    <mergeCell ref="V167:W167"/>
    <mergeCell ref="X167:Y167"/>
    <mergeCell ref="V168:W168"/>
    <mergeCell ref="G163:U163"/>
    <mergeCell ref="G164:U164"/>
    <mergeCell ref="G165:U165"/>
    <mergeCell ref="G166:U166"/>
    <mergeCell ref="G167:U167"/>
    <mergeCell ref="G157:U157"/>
    <mergeCell ref="V157:W157"/>
    <mergeCell ref="X157:Y157"/>
    <mergeCell ref="G159:U159"/>
    <mergeCell ref="V159:W159"/>
    <mergeCell ref="X159:Y159"/>
    <mergeCell ref="V162:W162"/>
    <mergeCell ref="X162:Y162"/>
    <mergeCell ref="V163:W163"/>
    <mergeCell ref="X163:Y163"/>
    <mergeCell ref="V164:W164"/>
    <mergeCell ref="X164:Y164"/>
    <mergeCell ref="V165:W165"/>
    <mergeCell ref="X165:Y165"/>
    <mergeCell ref="V166:W166"/>
    <mergeCell ref="X166:Y166"/>
    <mergeCell ref="G154:U154"/>
    <mergeCell ref="G155:U155"/>
    <mergeCell ref="V150:W150"/>
    <mergeCell ref="X150:Y150"/>
    <mergeCell ref="V151:W151"/>
    <mergeCell ref="X151:Y151"/>
    <mergeCell ref="V152:W152"/>
    <mergeCell ref="X152:Y152"/>
    <mergeCell ref="V153:W153"/>
    <mergeCell ref="X153:Y153"/>
    <mergeCell ref="V154:W154"/>
    <mergeCell ref="X154:Y154"/>
    <mergeCell ref="V155:W155"/>
    <mergeCell ref="X155:Y155"/>
    <mergeCell ref="V148:W148"/>
    <mergeCell ref="X148:Y148"/>
    <mergeCell ref="G151:U151"/>
    <mergeCell ref="G152:U152"/>
    <mergeCell ref="G153:U153"/>
    <mergeCell ref="V145:W145"/>
    <mergeCell ref="X145:Y145"/>
    <mergeCell ref="V146:W146"/>
    <mergeCell ref="X146:Y146"/>
    <mergeCell ref="V147:W147"/>
    <mergeCell ref="X147:Y147"/>
    <mergeCell ref="G147:U147"/>
    <mergeCell ref="G148:U148"/>
    <mergeCell ref="V143:W143"/>
    <mergeCell ref="X143:Y143"/>
    <mergeCell ref="V144:W144"/>
    <mergeCell ref="X144:Y144"/>
    <mergeCell ref="G142:U142"/>
    <mergeCell ref="G143:U143"/>
    <mergeCell ref="G144:U144"/>
    <mergeCell ref="G145:U145"/>
    <mergeCell ref="G146:U146"/>
    <mergeCell ref="V142:W142"/>
    <mergeCell ref="X142:Y142"/>
    <mergeCell ref="V136:W136"/>
    <mergeCell ref="X136:Y136"/>
    <mergeCell ref="G139:U139"/>
    <mergeCell ref="G140:U140"/>
    <mergeCell ref="G141:U141"/>
    <mergeCell ref="V133:W133"/>
    <mergeCell ref="X133:Y133"/>
    <mergeCell ref="V134:W134"/>
    <mergeCell ref="X134:Y134"/>
    <mergeCell ref="V135:W135"/>
    <mergeCell ref="X135:Y135"/>
    <mergeCell ref="G134:U134"/>
    <mergeCell ref="G135:U135"/>
    <mergeCell ref="V138:W138"/>
    <mergeCell ref="X138:Y138"/>
    <mergeCell ref="V139:W139"/>
    <mergeCell ref="X139:Y139"/>
    <mergeCell ref="V140:W140"/>
    <mergeCell ref="X140:Y140"/>
    <mergeCell ref="V141:W141"/>
    <mergeCell ref="X141:Y141"/>
    <mergeCell ref="V130:W130"/>
    <mergeCell ref="X130:Y130"/>
    <mergeCell ref="V131:W131"/>
    <mergeCell ref="X131:Y131"/>
    <mergeCell ref="V132:W132"/>
    <mergeCell ref="X132:Y132"/>
    <mergeCell ref="V127:W127"/>
    <mergeCell ref="X127:Y127"/>
    <mergeCell ref="V128:W128"/>
    <mergeCell ref="X128:Y128"/>
    <mergeCell ref="V129:W129"/>
    <mergeCell ref="X129:Y129"/>
    <mergeCell ref="X124:Y124"/>
    <mergeCell ref="V125:W125"/>
    <mergeCell ref="X125:Y125"/>
    <mergeCell ref="V126:W126"/>
    <mergeCell ref="X126:Y126"/>
    <mergeCell ref="G136:U136"/>
    <mergeCell ref="V116:W116"/>
    <mergeCell ref="X116:Y116"/>
    <mergeCell ref="V117:W117"/>
    <mergeCell ref="X117:Y117"/>
    <mergeCell ref="V118:W118"/>
    <mergeCell ref="X118:Y118"/>
    <mergeCell ref="V119:W119"/>
    <mergeCell ref="X119:Y119"/>
    <mergeCell ref="V120:W120"/>
    <mergeCell ref="X120:Y120"/>
    <mergeCell ref="V121:W121"/>
    <mergeCell ref="X121:Y121"/>
    <mergeCell ref="V122:W122"/>
    <mergeCell ref="X122:Y122"/>
    <mergeCell ref="V124:W124"/>
    <mergeCell ref="G131:U131"/>
    <mergeCell ref="G132:U132"/>
    <mergeCell ref="G133:U133"/>
    <mergeCell ref="G126:U126"/>
    <mergeCell ref="G127:U127"/>
    <mergeCell ref="G128:U128"/>
    <mergeCell ref="G129:U129"/>
    <mergeCell ref="G130:U130"/>
    <mergeCell ref="G121:U121"/>
    <mergeCell ref="G122:U122"/>
    <mergeCell ref="G123:U123"/>
    <mergeCell ref="G124:U124"/>
    <mergeCell ref="G125:U125"/>
    <mergeCell ref="G117:U117"/>
    <mergeCell ref="G118:U118"/>
    <mergeCell ref="G119:U119"/>
    <mergeCell ref="G120:U120"/>
    <mergeCell ref="X111:Y111"/>
    <mergeCell ref="V112:W112"/>
    <mergeCell ref="X112:Y112"/>
    <mergeCell ref="V113:W113"/>
    <mergeCell ref="X113:Y113"/>
    <mergeCell ref="G111:U111"/>
    <mergeCell ref="G112:U112"/>
    <mergeCell ref="G113:U113"/>
    <mergeCell ref="G114:U114"/>
    <mergeCell ref="V108:W108"/>
    <mergeCell ref="V109:W109"/>
    <mergeCell ref="V110:W110"/>
    <mergeCell ref="V111:W111"/>
    <mergeCell ref="V114:W114"/>
    <mergeCell ref="G105:U105"/>
    <mergeCell ref="V105:W105"/>
    <mergeCell ref="X105:Y105"/>
    <mergeCell ref="G109:U109"/>
    <mergeCell ref="G110:U110"/>
    <mergeCell ref="X108:Y108"/>
    <mergeCell ref="X109:Y109"/>
    <mergeCell ref="X110:Y110"/>
    <mergeCell ref="X114:Y114"/>
    <mergeCell ref="X100:Y100"/>
    <mergeCell ref="V101:W101"/>
    <mergeCell ref="X101:Y101"/>
    <mergeCell ref="G103:U103"/>
    <mergeCell ref="V103:W103"/>
    <mergeCell ref="X103:Y103"/>
    <mergeCell ref="X97:Y97"/>
    <mergeCell ref="V98:W98"/>
    <mergeCell ref="X98:Y98"/>
    <mergeCell ref="V99:W99"/>
    <mergeCell ref="X99:Y99"/>
    <mergeCell ref="G98:U98"/>
    <mergeCell ref="G99:U99"/>
    <mergeCell ref="G100:U100"/>
    <mergeCell ref="G101:U101"/>
    <mergeCell ref="V97:W97"/>
    <mergeCell ref="V100:W100"/>
    <mergeCell ref="G95:U95"/>
    <mergeCell ref="V90:W90"/>
    <mergeCell ref="X90:Y90"/>
    <mergeCell ref="V91:W91"/>
    <mergeCell ref="X91:Y91"/>
    <mergeCell ref="V92:W92"/>
    <mergeCell ref="X92:Y92"/>
    <mergeCell ref="V93:W93"/>
    <mergeCell ref="X93:Y93"/>
    <mergeCell ref="V94:W94"/>
    <mergeCell ref="X94:Y94"/>
    <mergeCell ref="V95:W95"/>
    <mergeCell ref="X95:Y95"/>
    <mergeCell ref="X88:Y88"/>
    <mergeCell ref="G91:U91"/>
    <mergeCell ref="G92:U92"/>
    <mergeCell ref="G93:U93"/>
    <mergeCell ref="G94:U94"/>
    <mergeCell ref="X85:Y85"/>
    <mergeCell ref="V86:W86"/>
    <mergeCell ref="X86:Y86"/>
    <mergeCell ref="V87:W87"/>
    <mergeCell ref="X87:Y87"/>
    <mergeCell ref="G85:U85"/>
    <mergeCell ref="G86:U86"/>
    <mergeCell ref="G87:U87"/>
    <mergeCell ref="G88:U88"/>
    <mergeCell ref="V85:W85"/>
    <mergeCell ref="V88:W88"/>
    <mergeCell ref="X82:Y82"/>
    <mergeCell ref="V83:W83"/>
    <mergeCell ref="X83:Y83"/>
    <mergeCell ref="V84:W84"/>
    <mergeCell ref="X84:Y84"/>
    <mergeCell ref="X79:Y79"/>
    <mergeCell ref="V80:W80"/>
    <mergeCell ref="X80:Y80"/>
    <mergeCell ref="V81:W81"/>
    <mergeCell ref="X81:Y81"/>
    <mergeCell ref="V79:W79"/>
    <mergeCell ref="V82:W82"/>
    <mergeCell ref="G80:U80"/>
    <mergeCell ref="G81:U81"/>
    <mergeCell ref="G82:U82"/>
    <mergeCell ref="G83:U83"/>
    <mergeCell ref="G84:U84"/>
    <mergeCell ref="G71:U71"/>
    <mergeCell ref="G72:U72"/>
    <mergeCell ref="G69:U69"/>
    <mergeCell ref="G75:U75"/>
    <mergeCell ref="G65:U65"/>
    <mergeCell ref="G74:U74"/>
    <mergeCell ref="G73:U73"/>
    <mergeCell ref="G66:U66"/>
    <mergeCell ref="V62:W62"/>
    <mergeCell ref="X62:Y62"/>
    <mergeCell ref="G67:U67"/>
    <mergeCell ref="G68:U68"/>
    <mergeCell ref="G70:U70"/>
    <mergeCell ref="G59:U59"/>
    <mergeCell ref="G60:U60"/>
    <mergeCell ref="G61:U61"/>
    <mergeCell ref="G62:U62"/>
    <mergeCell ref="V52:W52"/>
    <mergeCell ref="X52:Y52"/>
    <mergeCell ref="G54:U54"/>
    <mergeCell ref="V54:W54"/>
    <mergeCell ref="X54:Y54"/>
    <mergeCell ref="G56:U56"/>
    <mergeCell ref="V56:W56"/>
    <mergeCell ref="X56:Y56"/>
    <mergeCell ref="G51:U51"/>
    <mergeCell ref="G52:U52"/>
    <mergeCell ref="V48:W48"/>
    <mergeCell ref="X48:Y48"/>
    <mergeCell ref="V49:W49"/>
    <mergeCell ref="X49:Y49"/>
    <mergeCell ref="V50:W50"/>
    <mergeCell ref="X50:Y50"/>
    <mergeCell ref="V51:W51"/>
    <mergeCell ref="X51:Y51"/>
    <mergeCell ref="V45:W45"/>
    <mergeCell ref="X45:Y45"/>
    <mergeCell ref="V46:W46"/>
    <mergeCell ref="X46:Y46"/>
    <mergeCell ref="G49:U49"/>
    <mergeCell ref="G50:U50"/>
    <mergeCell ref="G43:U43"/>
    <mergeCell ref="G44:U44"/>
    <mergeCell ref="G45:U45"/>
    <mergeCell ref="G46:U46"/>
    <mergeCell ref="V42:W42"/>
    <mergeCell ref="X42:Y42"/>
    <mergeCell ref="V43:W43"/>
    <mergeCell ref="X43:Y43"/>
    <mergeCell ref="V44:W44"/>
    <mergeCell ref="X44:Y44"/>
    <mergeCell ref="V38:W38"/>
    <mergeCell ref="X38:Y38"/>
    <mergeCell ref="V39:W39"/>
    <mergeCell ref="X39:Y39"/>
    <mergeCell ref="V40:W40"/>
    <mergeCell ref="X40:Y40"/>
    <mergeCell ref="G39:U39"/>
    <mergeCell ref="G40:U40"/>
    <mergeCell ref="G37:U37"/>
    <mergeCell ref="G38:U38"/>
    <mergeCell ref="V37:W37"/>
    <mergeCell ref="X37:Y37"/>
    <mergeCell ref="G35:U35"/>
    <mergeCell ref="G36:U36"/>
    <mergeCell ref="G33:U33"/>
    <mergeCell ref="G34:U34"/>
    <mergeCell ref="V33:W33"/>
    <mergeCell ref="X33:Y33"/>
    <mergeCell ref="V34:W34"/>
    <mergeCell ref="X34:Y34"/>
    <mergeCell ref="V35:W35"/>
    <mergeCell ref="X35:Y35"/>
    <mergeCell ref="V36:W36"/>
    <mergeCell ref="X36:Y36"/>
    <mergeCell ref="G31:U31"/>
    <mergeCell ref="G32:U32"/>
    <mergeCell ref="V26:W26"/>
    <mergeCell ref="X26:Y26"/>
    <mergeCell ref="V27:W27"/>
    <mergeCell ref="X27:Y27"/>
    <mergeCell ref="V28:W28"/>
    <mergeCell ref="X28:Y28"/>
    <mergeCell ref="V23:W23"/>
    <mergeCell ref="X23:Y23"/>
    <mergeCell ref="V24:W24"/>
    <mergeCell ref="X24:Y24"/>
    <mergeCell ref="V25:W25"/>
    <mergeCell ref="X25:Y25"/>
    <mergeCell ref="G28:U28"/>
    <mergeCell ref="V30:W30"/>
    <mergeCell ref="X30:Y30"/>
    <mergeCell ref="V31:W31"/>
    <mergeCell ref="X31:Y31"/>
    <mergeCell ref="V32:W32"/>
    <mergeCell ref="X32:Y32"/>
    <mergeCell ref="G25:U25"/>
    <mergeCell ref="G26:U26"/>
    <mergeCell ref="G27:U27"/>
    <mergeCell ref="G22:U22"/>
    <mergeCell ref="G23:U23"/>
    <mergeCell ref="G24:U24"/>
    <mergeCell ref="V20:W20"/>
    <mergeCell ref="X20:Y20"/>
    <mergeCell ref="V21:W21"/>
    <mergeCell ref="X21:Y21"/>
    <mergeCell ref="V22:W22"/>
    <mergeCell ref="X22:Y22"/>
    <mergeCell ref="V13:W13"/>
    <mergeCell ref="X13:Y13"/>
    <mergeCell ref="G19:U19"/>
    <mergeCell ref="G20:U20"/>
    <mergeCell ref="G21:U21"/>
    <mergeCell ref="G13:U13"/>
    <mergeCell ref="G14:U14"/>
    <mergeCell ref="G15:U15"/>
    <mergeCell ref="G16:U16"/>
    <mergeCell ref="G17:U17"/>
    <mergeCell ref="G18:U18"/>
    <mergeCell ref="V14:W14"/>
    <mergeCell ref="X14:Y14"/>
    <mergeCell ref="V15:W15"/>
    <mergeCell ref="X15:Y15"/>
    <mergeCell ref="V16:W16"/>
    <mergeCell ref="X16:Y16"/>
    <mergeCell ref="V17:W17"/>
    <mergeCell ref="X17:Y17"/>
    <mergeCell ref="V18:W18"/>
    <mergeCell ref="X18:Y18"/>
    <mergeCell ref="V19:W19"/>
    <mergeCell ref="X19:Y19"/>
    <mergeCell ref="G3:I3"/>
    <mergeCell ref="X7:Y7"/>
    <mergeCell ref="V8:W8"/>
    <mergeCell ref="X8:Y8"/>
    <mergeCell ref="V9:W9"/>
    <mergeCell ref="X9:Y9"/>
    <mergeCell ref="G12:U12"/>
    <mergeCell ref="V4:W4"/>
    <mergeCell ref="X4:Y4"/>
    <mergeCell ref="V5:W5"/>
    <mergeCell ref="X5:Y5"/>
    <mergeCell ref="V6:W6"/>
    <mergeCell ref="X6:Y6"/>
    <mergeCell ref="G5:U5"/>
    <mergeCell ref="G6:U6"/>
    <mergeCell ref="G7:U7"/>
    <mergeCell ref="G8:U8"/>
    <mergeCell ref="G9:U9"/>
    <mergeCell ref="V7:W7"/>
    <mergeCell ref="V11:W11"/>
    <mergeCell ref="X11:Y11"/>
    <mergeCell ref="V12:W12"/>
    <mergeCell ref="X12:Y12"/>
  </mergeCells>
  <pageMargins left="0.31496062992125984" right="0.70866141732283472" top="0.15748031496062992" bottom="0.15748031496062992" header="0.31496062992125984" footer="0.31496062992125984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38"/>
  <sheetViews>
    <sheetView workbookViewId="0">
      <selection activeCell="B2" sqref="B2:S25"/>
    </sheetView>
  </sheetViews>
  <sheetFormatPr defaultRowHeight="15"/>
  <cols>
    <col min="2" max="2" width="6.28515625" customWidth="1"/>
    <col min="3" max="3" width="23.140625" customWidth="1"/>
    <col min="4" max="4" width="7.5703125" customWidth="1"/>
    <col min="5" max="15" width="8.28515625" customWidth="1"/>
    <col min="16" max="16" width="5.140625" customWidth="1"/>
    <col min="17" max="19" width="8.28515625" customWidth="1"/>
  </cols>
  <sheetData>
    <row r="2" spans="2:19" ht="15.75" customHeight="1">
      <c r="B2" s="372" t="s">
        <v>238</v>
      </c>
      <c r="C2" s="372" t="s">
        <v>239</v>
      </c>
      <c r="D2" s="372" t="s">
        <v>240</v>
      </c>
      <c r="E2" s="372" t="s">
        <v>241</v>
      </c>
      <c r="F2" s="372"/>
      <c r="G2" s="372"/>
      <c r="H2" s="119" t="s">
        <v>242</v>
      </c>
      <c r="I2" s="372" t="s">
        <v>244</v>
      </c>
      <c r="J2" s="372"/>
      <c r="K2" s="372"/>
      <c r="L2" s="372"/>
      <c r="M2" s="372"/>
      <c r="N2" s="372" t="s">
        <v>245</v>
      </c>
      <c r="O2" s="372"/>
      <c r="P2" s="372"/>
      <c r="Q2" s="372"/>
      <c r="R2" s="372"/>
      <c r="S2" s="372"/>
    </row>
    <row r="3" spans="2:19" ht="38.25">
      <c r="B3" s="372"/>
      <c r="C3" s="372"/>
      <c r="D3" s="372"/>
      <c r="E3" s="119" t="s">
        <v>246</v>
      </c>
      <c r="F3" s="119" t="s">
        <v>247</v>
      </c>
      <c r="G3" s="119" t="s">
        <v>248</v>
      </c>
      <c r="H3" s="119" t="s">
        <v>243</v>
      </c>
      <c r="I3" s="119" t="s">
        <v>249</v>
      </c>
      <c r="J3" s="119" t="s">
        <v>250</v>
      </c>
      <c r="K3" s="119" t="s">
        <v>251</v>
      </c>
      <c r="L3" s="119" t="s">
        <v>252</v>
      </c>
      <c r="M3" s="119" t="s">
        <v>253</v>
      </c>
      <c r="N3" s="119" t="s">
        <v>254</v>
      </c>
      <c r="O3" s="119" t="s">
        <v>255</v>
      </c>
      <c r="P3" s="119" t="s">
        <v>256</v>
      </c>
      <c r="Q3" s="119" t="s">
        <v>257</v>
      </c>
      <c r="R3" s="119" t="s">
        <v>258</v>
      </c>
      <c r="S3" s="119" t="s">
        <v>259</v>
      </c>
    </row>
    <row r="4" spans="2:19">
      <c r="B4" s="152">
        <v>1</v>
      </c>
      <c r="C4" s="152">
        <v>2</v>
      </c>
      <c r="D4" s="152">
        <v>3</v>
      </c>
      <c r="E4" s="152">
        <v>4</v>
      </c>
      <c r="F4" s="152">
        <v>5</v>
      </c>
      <c r="G4" s="152">
        <v>6</v>
      </c>
      <c r="H4" s="152">
        <v>7</v>
      </c>
      <c r="I4" s="152">
        <v>8</v>
      </c>
      <c r="J4" s="152">
        <v>9</v>
      </c>
      <c r="K4" s="152">
        <v>10</v>
      </c>
      <c r="L4" s="152">
        <v>11</v>
      </c>
      <c r="M4" s="152">
        <v>12</v>
      </c>
      <c r="N4" s="152">
        <v>13</v>
      </c>
      <c r="O4" s="152">
        <v>14</v>
      </c>
      <c r="P4" s="152">
        <v>15</v>
      </c>
      <c r="Q4" s="152">
        <v>16</v>
      </c>
      <c r="R4" s="152">
        <v>17</v>
      </c>
      <c r="S4" s="152">
        <v>18</v>
      </c>
    </row>
    <row r="5" spans="2:19" ht="23.25" customHeight="1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2:19" ht="23.25" customHeight="1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2:19" ht="23.25" customHeight="1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2:19" ht="23.25" customHeight="1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</row>
    <row r="9" spans="2:19" ht="23.25" customHeight="1"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</row>
    <row r="10" spans="2:19" ht="23.25" customHeight="1"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</row>
    <row r="11" spans="2:19" ht="23.25" customHeight="1"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2:19" ht="23.25" customHeight="1"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2:19" ht="23.25" customHeight="1"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2:19" ht="23.25" customHeight="1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2:19" ht="23.25" customHeight="1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2:19" ht="23.25" customHeight="1"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</row>
    <row r="17" spans="2:19" ht="23.25" customHeight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</row>
    <row r="18" spans="2:19" ht="23.25" customHeight="1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</row>
    <row r="19" spans="2:19" ht="23.25" customHeight="1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</row>
    <row r="20" spans="2:19" ht="23.25" customHeight="1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</row>
    <row r="21" spans="2:19" ht="23.25" customHeight="1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</row>
    <row r="22" spans="2:19" ht="23.25" customHeight="1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</row>
    <row r="23" spans="2:19" ht="23.25" customHeight="1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2:19" ht="23.25" customHeight="1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</row>
    <row r="25" spans="2:19" ht="23.25" customHeight="1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</row>
    <row r="26" spans="2:19" ht="23.25" customHeight="1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2:19" ht="23.25" customHeight="1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</row>
    <row r="28" spans="2:19" ht="23.25" customHeight="1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</row>
    <row r="29" spans="2:19" ht="23.25" customHeight="1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</row>
    <row r="30" spans="2:19" ht="23.25" customHeight="1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</row>
    <row r="31" spans="2:19" ht="23.25" customHeight="1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</row>
    <row r="32" spans="2:19" ht="23.25" customHeight="1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</row>
    <row r="33" spans="2:19" ht="23.25" customHeight="1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</row>
    <row r="34" spans="2:19" ht="23.25" customHeight="1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</row>
    <row r="35" spans="2:19" ht="23.25" customHeight="1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</row>
    <row r="36" spans="2:19" ht="23.25" customHeight="1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</row>
    <row r="37" spans="2:19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</row>
    <row r="38" spans="2:19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</row>
  </sheetData>
  <mergeCells count="6">
    <mergeCell ref="N2:S2"/>
    <mergeCell ref="C2:C3"/>
    <mergeCell ref="B2:B3"/>
    <mergeCell ref="D2:D3"/>
    <mergeCell ref="E2:G2"/>
    <mergeCell ref="I2:M2"/>
  </mergeCells>
  <pageMargins left="0" right="0" top="0" bottom="0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2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24" sqref="J24"/>
    </sheetView>
  </sheetViews>
  <sheetFormatPr defaultRowHeight="15"/>
  <cols>
    <col min="1" max="1" width="31.7109375" customWidth="1"/>
    <col min="3" max="3" width="42.28515625" customWidth="1"/>
  </cols>
  <sheetData>
    <row r="2" spans="2:5" ht="20.25">
      <c r="B2" s="121" t="s">
        <v>350</v>
      </c>
    </row>
    <row r="3" spans="2:5" ht="15.75" thickBot="1"/>
    <row r="4" spans="2:5" ht="20.25" customHeight="1" thickBot="1">
      <c r="B4" s="373" t="s">
        <v>351</v>
      </c>
      <c r="C4" s="123" t="s">
        <v>352</v>
      </c>
      <c r="D4" s="375" t="s">
        <v>353</v>
      </c>
      <c r="E4" s="376"/>
    </row>
    <row r="5" spans="2:5" ht="20.25" customHeight="1" thickBot="1">
      <c r="B5" s="374"/>
      <c r="C5" s="124" t="s">
        <v>354</v>
      </c>
      <c r="D5" s="125" t="s">
        <v>237</v>
      </c>
      <c r="E5" s="126" t="s">
        <v>355</v>
      </c>
    </row>
    <row r="6" spans="2:5" ht="20.25" customHeight="1" thickBot="1">
      <c r="B6" s="127">
        <v>1</v>
      </c>
      <c r="C6" s="128" t="s">
        <v>356</v>
      </c>
      <c r="D6" s="125">
        <v>80</v>
      </c>
      <c r="E6" s="125">
        <v>120</v>
      </c>
    </row>
    <row r="7" spans="2:5" ht="20.25" customHeight="1" thickBot="1">
      <c r="B7" s="127">
        <v>2</v>
      </c>
      <c r="C7" s="128" t="s">
        <v>35</v>
      </c>
      <c r="D7" s="125">
        <v>150</v>
      </c>
      <c r="E7" s="125">
        <v>200</v>
      </c>
    </row>
    <row r="8" spans="2:5" ht="20.25" customHeight="1" thickBot="1">
      <c r="B8" s="127">
        <v>3</v>
      </c>
      <c r="C8" s="128" t="s">
        <v>104</v>
      </c>
      <c r="D8" s="125">
        <v>15</v>
      </c>
      <c r="E8" s="125">
        <v>20</v>
      </c>
    </row>
    <row r="9" spans="2:5" ht="20.25" customHeight="1" thickBot="1">
      <c r="B9" s="127">
        <v>4</v>
      </c>
      <c r="C9" s="128" t="s">
        <v>357</v>
      </c>
      <c r="D9" s="125">
        <v>45</v>
      </c>
      <c r="E9" s="125">
        <v>50</v>
      </c>
    </row>
    <row r="10" spans="2:5" ht="20.25" customHeight="1" thickBot="1">
      <c r="B10" s="127">
        <v>5</v>
      </c>
      <c r="C10" s="128" t="s">
        <v>69</v>
      </c>
      <c r="D10" s="125">
        <v>15</v>
      </c>
      <c r="E10" s="125">
        <v>20</v>
      </c>
    </row>
    <row r="11" spans="2:5" ht="20.25" customHeight="1" thickBot="1">
      <c r="B11" s="127">
        <v>6</v>
      </c>
      <c r="C11" s="128" t="s">
        <v>129</v>
      </c>
      <c r="D11" s="125">
        <v>187</v>
      </c>
      <c r="E11" s="125">
        <v>187</v>
      </c>
    </row>
    <row r="12" spans="2:5" ht="20.25" customHeight="1">
      <c r="B12" s="373">
        <v>7</v>
      </c>
      <c r="C12" s="129" t="s">
        <v>358</v>
      </c>
      <c r="D12" s="122">
        <v>280</v>
      </c>
      <c r="E12" s="122">
        <v>320</v>
      </c>
    </row>
    <row r="13" spans="2:5" ht="20.25" customHeight="1">
      <c r="B13" s="377"/>
      <c r="C13" s="129" t="s">
        <v>359</v>
      </c>
      <c r="D13" s="131"/>
      <c r="E13" s="131"/>
    </row>
    <row r="14" spans="2:5" ht="20.25" customHeight="1">
      <c r="B14" s="377"/>
      <c r="C14" s="129" t="s">
        <v>360</v>
      </c>
      <c r="D14" s="131"/>
      <c r="E14" s="131"/>
    </row>
    <row r="15" spans="2:5" ht="20.25" customHeight="1" thickBot="1">
      <c r="B15" s="374"/>
      <c r="C15" s="128" t="s">
        <v>361</v>
      </c>
      <c r="D15" s="130"/>
      <c r="E15" s="130"/>
    </row>
    <row r="16" spans="2:5" ht="20.25" customHeight="1" thickBot="1">
      <c r="B16" s="127">
        <v>8</v>
      </c>
      <c r="C16" s="128" t="s">
        <v>362</v>
      </c>
      <c r="D16" s="125">
        <v>185</v>
      </c>
      <c r="E16" s="125">
        <v>185</v>
      </c>
    </row>
    <row r="17" spans="2:5" ht="20.25" customHeight="1" thickBot="1">
      <c r="B17" s="127">
        <v>9</v>
      </c>
      <c r="C17" s="128" t="s">
        <v>154</v>
      </c>
      <c r="D17" s="125">
        <v>15</v>
      </c>
      <c r="E17" s="125">
        <v>20</v>
      </c>
    </row>
    <row r="18" spans="2:5" ht="20.25" customHeight="1">
      <c r="B18" s="373">
        <v>10</v>
      </c>
      <c r="C18" s="129" t="s">
        <v>363</v>
      </c>
      <c r="D18" s="122">
        <v>200</v>
      </c>
      <c r="E18" s="122">
        <v>200</v>
      </c>
    </row>
    <row r="19" spans="2:5" ht="20.25" customHeight="1" thickBot="1">
      <c r="B19" s="374"/>
      <c r="C19" s="128" t="s">
        <v>364</v>
      </c>
      <c r="D19" s="130"/>
      <c r="E19" s="130"/>
    </row>
    <row r="20" spans="2:5" ht="20.25" customHeight="1" thickBot="1">
      <c r="B20" s="127">
        <v>11</v>
      </c>
      <c r="C20" s="128" t="s">
        <v>365</v>
      </c>
      <c r="D20" s="125">
        <v>70</v>
      </c>
      <c r="E20" s="125">
        <v>78</v>
      </c>
    </row>
    <row r="21" spans="2:5" ht="20.25" customHeight="1" thickBot="1">
      <c r="B21" s="127">
        <v>12</v>
      </c>
      <c r="C21" s="128" t="s">
        <v>366</v>
      </c>
      <c r="D21" s="125">
        <v>30</v>
      </c>
      <c r="E21" s="125">
        <v>40</v>
      </c>
    </row>
    <row r="22" spans="2:5" ht="20.25" customHeight="1" thickBot="1">
      <c r="B22" s="127">
        <v>13</v>
      </c>
      <c r="C22" s="128" t="s">
        <v>367</v>
      </c>
      <c r="D22" s="125">
        <v>35</v>
      </c>
      <c r="E22" s="125">
        <v>53</v>
      </c>
    </row>
    <row r="23" spans="2:5" ht="20.25" customHeight="1" thickBot="1">
      <c r="B23" s="127">
        <v>14</v>
      </c>
      <c r="C23" s="128" t="s">
        <v>368</v>
      </c>
      <c r="D23" s="125">
        <v>58</v>
      </c>
      <c r="E23" s="125">
        <v>77</v>
      </c>
    </row>
    <row r="24" spans="2:5" ht="20.25" customHeight="1" thickBot="1">
      <c r="B24" s="127">
        <v>15</v>
      </c>
      <c r="C24" s="128" t="s">
        <v>16</v>
      </c>
      <c r="D24" s="125">
        <v>300</v>
      </c>
      <c r="E24" s="125">
        <v>350</v>
      </c>
    </row>
    <row r="25" spans="2:5" ht="20.25" customHeight="1" thickBot="1">
      <c r="B25" s="127">
        <v>16</v>
      </c>
      <c r="C25" s="128" t="s">
        <v>369</v>
      </c>
      <c r="D25" s="125">
        <v>150</v>
      </c>
      <c r="E25" s="125">
        <v>180</v>
      </c>
    </row>
    <row r="26" spans="2:5" ht="20.25" customHeight="1" thickBot="1">
      <c r="B26" s="127">
        <v>17</v>
      </c>
      <c r="C26" s="128" t="s">
        <v>370</v>
      </c>
      <c r="D26" s="125">
        <v>50</v>
      </c>
      <c r="E26" s="125">
        <v>60</v>
      </c>
    </row>
    <row r="27" spans="2:5" ht="20.25" customHeight="1" thickBot="1">
      <c r="B27" s="127">
        <v>18</v>
      </c>
      <c r="C27" s="128" t="s">
        <v>371</v>
      </c>
      <c r="D27" s="125">
        <v>10</v>
      </c>
      <c r="E27" s="125">
        <v>15</v>
      </c>
    </row>
    <row r="28" spans="2:5" ht="20.25" customHeight="1" thickBot="1">
      <c r="B28" s="127">
        <v>19</v>
      </c>
      <c r="C28" s="128" t="s">
        <v>54</v>
      </c>
      <c r="D28" s="125">
        <v>10</v>
      </c>
      <c r="E28" s="125">
        <v>10</v>
      </c>
    </row>
    <row r="29" spans="2:5" ht="20.25" customHeight="1" thickBot="1">
      <c r="B29" s="127">
        <v>20</v>
      </c>
      <c r="C29" s="128" t="s">
        <v>18</v>
      </c>
      <c r="D29" s="125">
        <v>30</v>
      </c>
      <c r="E29" s="125">
        <v>35</v>
      </c>
    </row>
  </sheetData>
  <mergeCells count="4">
    <mergeCell ref="B4:B5"/>
    <mergeCell ref="D4:E4"/>
    <mergeCell ref="B12:B15"/>
    <mergeCell ref="B18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завтрак 1-4 </vt:lpstr>
      <vt:lpstr>завтрак 5-11</vt:lpstr>
      <vt:lpstr>СТ меню 1-4</vt:lpstr>
      <vt:lpstr>СТ меню 5-11</vt:lpstr>
      <vt:lpstr>з. 1-4 замена говядины</vt:lpstr>
      <vt:lpstr>з. 5-11 замена говядины </vt:lpstr>
      <vt:lpstr>обед 1-4 класс</vt:lpstr>
      <vt:lpstr>Лист1</vt:lpstr>
      <vt:lpstr>среднесуточный набор продуктов</vt:lpstr>
      <vt:lpstr>потребность в пищевых веществах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2023-02-28T07:38:28Z</dcterms:modified>
</cp:coreProperties>
</file>